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ORDOBA\"/>
    </mc:Choice>
  </mc:AlternateContent>
  <workbookProtection workbookAlgorithmName="SHA-512" workbookHashValue="8lCrGAIOIx+Y1W7/kfkyC2apyMKT0Uug4r/89DmuYOm7YMA+E7IIxDqNEyQflxIJu6LEuyZiFh1jTj5RE4eRvg==" workbookSaltValue="8/+LNizAGarouXiZj6y7W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Datos!$A$5:$X$21</definedName>
    <definedName name="_xlnm._FilterDatabase" localSheetId="12" hidden="1">DatosB!$A$5:$X$21</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Datos!$A$5:$BM$21</definedName>
    <definedName name="_xlnm.Print_Area" localSheetId="12">DatosB!$A$5:$BM$21</definedName>
    <definedName name="_xlnm.Print_Area" localSheetId="10">Definiciones!$A$1:$B$19</definedName>
    <definedName name="_xlnm.Print_Area" localSheetId="4">'Ejecu  Sentencias'!$A$1:$E$24</definedName>
    <definedName name="_xlnm.Print_Area" localSheetId="8">Evolucion!$C$1:$K$32</definedName>
    <definedName name="_xlnm.Print_Area" localSheetId="5">Evolución!$A$1:$K$25</definedName>
    <definedName name="_xlnm.Print_Area" localSheetId="7">Indicadores!$A$1:$AX$30</definedName>
    <definedName name="_xlnm.Print_Area" localSheetId="13">'Indicadores CA'!$A$1:$BU$30</definedName>
    <definedName name="_xlnm.Print_Area" localSheetId="14">'Indicadores CA Reducida'!$A$1:$AX$30</definedName>
    <definedName name="_xlnm.Print_Area" localSheetId="17">'Indicadores Penal'!$A$1:$BC$30</definedName>
    <definedName name="_xlnm.Print_Area" localSheetId="9">Juez!$A$1:$AD$42</definedName>
    <definedName name="_xlnm.Print_Area" localSheetId="2">Modulos!$A$1:$M$25</definedName>
    <definedName name="_xlnm.Print_Area" localSheetId="1">NºAsuntos!$A$1:$J$25</definedName>
    <definedName name="_xlnm.Print_Area" localSheetId="18">PyL!$A$1:$E$27</definedName>
    <definedName name="_xlnm.Print_Area" localSheetId="3">'Resol  Asuntos'!$A$1:$I$24</definedName>
    <definedName name="_xlnm.Print_Area" localSheetId="19">Resumen!$A$1:$BE$30</definedName>
    <definedName name="_xlnm.Print_Area" localSheetId="6">Tasas!$A$1:$F$25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8" i="20" l="1"/>
  <c r="BA27" i="20"/>
  <c r="BA19" i="20"/>
  <c r="BA14" i="20"/>
  <c r="BA23" i="20" s="1"/>
  <c r="EY20" i="19"/>
  <c r="EY14" i="19"/>
  <c r="EY20" i="8"/>
  <c r="EY14" i="8"/>
  <c r="EY20" i="13"/>
  <c r="EY14" i="13"/>
  <c r="EX20" i="19"/>
  <c r="EX14" i="19"/>
  <c r="BA22" i="20"/>
  <c r="BA21" i="20" l="1"/>
  <c r="EX20" i="8"/>
  <c r="EX14" i="8"/>
  <c r="EX14" i="13"/>
  <c r="EX20" i="13"/>
  <c r="AX12" i="21" l="1"/>
  <c r="AX10" i="21"/>
  <c r="AX28" i="21"/>
  <c r="AX27" i="21"/>
  <c r="AX20" i="21"/>
  <c r="AY20" i="20"/>
  <c r="AY28" i="20"/>
  <c r="AY27" i="20"/>
  <c r="AY14" i="20"/>
  <c r="AW18" i="20"/>
  <c r="AW19" i="20"/>
  <c r="AW17" i="20"/>
  <c r="AW28" i="20"/>
  <c r="AW27" i="20"/>
  <c r="AU17" i="17"/>
  <c r="AU18" i="17"/>
  <c r="AU16" i="17"/>
  <c r="AU10" i="17"/>
  <c r="AU11" i="17"/>
  <c r="AU12" i="17"/>
  <c r="AU13" i="17"/>
  <c r="AU9" i="17"/>
  <c r="AU28" i="17"/>
  <c r="AU27" i="17"/>
  <c r="BR20" i="16"/>
  <c r="BR28" i="16"/>
  <c r="BR27" i="16"/>
  <c r="BR14" i="16"/>
  <c r="BP17" i="16"/>
  <c r="BP18" i="16"/>
  <c r="BP19" i="16"/>
  <c r="BP16" i="16"/>
  <c r="BP10" i="16"/>
  <c r="BP11" i="16"/>
  <c r="BP12" i="16"/>
  <c r="BP13" i="16"/>
  <c r="BP9" i="16"/>
  <c r="EW20" i="19"/>
  <c r="EW20" i="8"/>
  <c r="BP28" i="16"/>
  <c r="BP27" i="16"/>
  <c r="EW14" i="13"/>
  <c r="EW20" i="13"/>
  <c r="AW17" i="11"/>
  <c r="AW18" i="11"/>
  <c r="AW19" i="11"/>
  <c r="AW16" i="11"/>
  <c r="AW10" i="11"/>
  <c r="AW11" i="11"/>
  <c r="AW12" i="11"/>
  <c r="AW13" i="11"/>
  <c r="AW9" i="11"/>
  <c r="AW28" i="11"/>
  <c r="AW27" i="11"/>
  <c r="EV20" i="19"/>
  <c r="EV14" i="19"/>
  <c r="EV20" i="8"/>
  <c r="EV14" i="8"/>
  <c r="EV20" i="13"/>
  <c r="EV14" i="13"/>
  <c r="W12" i="21"/>
  <c r="AW22" i="20"/>
  <c r="EW21" i="8" l="1"/>
  <c r="EV21" i="19"/>
  <c r="EW21" i="19"/>
  <c r="AW14" i="11"/>
  <c r="AU14" i="17"/>
  <c r="AW20" i="11"/>
  <c r="BP20" i="16"/>
  <c r="BP14" i="16"/>
  <c r="AX14" i="21"/>
  <c r="AY21" i="20"/>
  <c r="AW20" i="20"/>
  <c r="AW14" i="20"/>
  <c r="AU20" i="17"/>
  <c r="EV21" i="8"/>
  <c r="EV21" i="13"/>
  <c r="AY22" i="20"/>
  <c r="AU21" i="17" l="1"/>
  <c r="AX23" i="21"/>
  <c r="BR21" i="16"/>
  <c r="AW23" i="11"/>
  <c r="BB17" i="13"/>
  <c r="BA17" i="13"/>
  <c r="BB16" i="13"/>
  <c r="BA16" i="13"/>
  <c r="AZ17" i="13"/>
  <c r="AZ16" i="13"/>
  <c r="AY17" i="13"/>
  <c r="AY16" i="13"/>
  <c r="T17" i="14"/>
  <c r="T18" i="14"/>
  <c r="T19" i="14"/>
  <c r="T16" i="14"/>
  <c r="T10" i="14"/>
  <c r="T11" i="14"/>
  <c r="T12" i="14"/>
  <c r="T13" i="14"/>
  <c r="T9" i="14"/>
  <c r="AA5" i="21"/>
  <c r="Z5" i="21"/>
  <c r="U5" i="21"/>
  <c r="S5" i="21"/>
  <c r="S17" i="21"/>
  <c r="S20" i="21" s="1"/>
  <c r="S12" i="21"/>
  <c r="R12" i="17"/>
  <c r="R17" i="17"/>
  <c r="F19" i="20"/>
  <c r="F10" i="17"/>
  <c r="F13" i="17"/>
  <c r="F10" i="16"/>
  <c r="F19" i="16"/>
  <c r="W19" i="16"/>
  <c r="W18" i="16"/>
  <c r="W17" i="16"/>
  <c r="W16" i="16"/>
  <c r="W13" i="16"/>
  <c r="W12" i="16"/>
  <c r="W11" i="16"/>
  <c r="W10" i="16"/>
  <c r="BA28" i="21"/>
  <c r="BA27" i="21"/>
  <c r="AZ28" i="21"/>
  <c r="AZ27" i="21"/>
  <c r="BB28" i="20"/>
  <c r="BB27" i="20"/>
  <c r="AW28" i="17"/>
  <c r="AW27" i="17"/>
  <c r="BT28" i="16"/>
  <c r="BS28" i="16"/>
  <c r="BT27" i="16"/>
  <c r="BT9" i="16"/>
  <c r="BU27" i="16"/>
  <c r="BU28" i="16" s="1"/>
  <c r="BV27" i="16"/>
  <c r="BV28" i="16" s="1"/>
  <c r="BS27" i="16"/>
  <c r="AJ12" i="16"/>
  <c r="AJ14" i="16" s="1"/>
  <c r="AJ9" i="16"/>
  <c r="AE9" i="16"/>
  <c r="AE12" i="16"/>
  <c r="I12" i="16"/>
  <c r="H12" i="21"/>
  <c r="I12" i="21"/>
  <c r="I17" i="20"/>
  <c r="U28" i="20"/>
  <c r="V28" i="20"/>
  <c r="U27" i="20"/>
  <c r="V27" i="20"/>
  <c r="T28" i="17"/>
  <c r="U28" i="17"/>
  <c r="T27" i="17"/>
  <c r="U27" i="17"/>
  <c r="W28" i="16"/>
  <c r="X28" i="16"/>
  <c r="W27" i="16"/>
  <c r="X27" i="16"/>
  <c r="W10" i="21"/>
  <c r="U17" i="20"/>
  <c r="U18" i="20"/>
  <c r="U19" i="20"/>
  <c r="U16" i="20"/>
  <c r="T17" i="17"/>
  <c r="T18" i="17"/>
  <c r="T19" i="17"/>
  <c r="T16" i="17"/>
  <c r="T10" i="17"/>
  <c r="T11" i="17"/>
  <c r="T12" i="17"/>
  <c r="T13" i="17"/>
  <c r="T9" i="17"/>
  <c r="W9" i="16"/>
  <c r="V14" i="20"/>
  <c r="U14" i="20"/>
  <c r="S19" i="20"/>
  <c r="AJ19" i="20"/>
  <c r="AI19" i="20"/>
  <c r="AH19" i="20"/>
  <c r="AG19" i="20"/>
  <c r="BM13" i="16"/>
  <c r="L9" i="16"/>
  <c r="L10" i="16"/>
  <c r="L11" i="16"/>
  <c r="L12" i="16"/>
  <c r="L13" i="16"/>
  <c r="F13" i="16" s="1"/>
  <c r="L16" i="16"/>
  <c r="L17" i="16"/>
  <c r="L18" i="16"/>
  <c r="L19" i="16"/>
  <c r="L27" i="16"/>
  <c r="L28" i="16"/>
  <c r="K19" i="2"/>
  <c r="K18" i="2"/>
  <c r="K17" i="2"/>
  <c r="K16" i="2"/>
  <c r="K13" i="2"/>
  <c r="K12" i="2"/>
  <c r="K11" i="2"/>
  <c r="K10" i="2"/>
  <c r="K9" i="2"/>
  <c r="AL28" i="16"/>
  <c r="ES14" i="19"/>
  <c r="ES21" i="19" s="1"/>
  <c r="ES14" i="13"/>
  <c r="ES21" i="13" s="1"/>
  <c r="ES14" i="8"/>
  <c r="AJ20" i="16"/>
  <c r="AE20" i="16"/>
  <c r="ER20" i="19"/>
  <c r="ER14" i="19"/>
  <c r="EQ20" i="19"/>
  <c r="EQ14" i="19"/>
  <c r="EP20" i="19"/>
  <c r="EP14" i="19"/>
  <c r="M19" i="10"/>
  <c r="M18" i="10"/>
  <c r="M17" i="10"/>
  <c r="M16" i="10"/>
  <c r="M13" i="10"/>
  <c r="M12" i="10"/>
  <c r="M11" i="10"/>
  <c r="M10" i="10"/>
  <c r="M9" i="10"/>
  <c r="ER20" i="13"/>
  <c r="ER14" i="13"/>
  <c r="G19" i="10"/>
  <c r="G18" i="10"/>
  <c r="G17" i="10"/>
  <c r="G16" i="10"/>
  <c r="G13" i="10"/>
  <c r="G12" i="10"/>
  <c r="G11" i="10"/>
  <c r="G10" i="10"/>
  <c r="G9" i="10"/>
  <c r="AY19" i="11"/>
  <c r="AY18" i="11"/>
  <c r="AY17" i="11"/>
  <c r="AY16" i="11"/>
  <c r="AY13" i="11"/>
  <c r="AY12" i="11"/>
  <c r="AY11" i="11"/>
  <c r="AY10" i="11"/>
  <c r="AY9" i="11"/>
  <c r="ER20" i="8"/>
  <c r="ER14" i="8"/>
  <c r="EQ20" i="8"/>
  <c r="EQ14" i="8"/>
  <c r="EP20" i="8"/>
  <c r="EP14" i="8"/>
  <c r="N19" i="2"/>
  <c r="N18" i="2"/>
  <c r="N17" i="2"/>
  <c r="N16" i="2"/>
  <c r="N13" i="2"/>
  <c r="N12" i="2"/>
  <c r="N11" i="2"/>
  <c r="N10" i="2"/>
  <c r="N9" i="2"/>
  <c r="M19" i="2"/>
  <c r="M18" i="2"/>
  <c r="M17" i="2"/>
  <c r="M16" i="2"/>
  <c r="M13" i="2"/>
  <c r="M12" i="2"/>
  <c r="M11" i="2"/>
  <c r="M10" i="2"/>
  <c r="M9" i="2"/>
  <c r="EO20" i="19"/>
  <c r="EO14" i="19"/>
  <c r="J11" i="17"/>
  <c r="J11" i="16"/>
  <c r="J12" i="16"/>
  <c r="J12" i="17"/>
  <c r="I12" i="17"/>
  <c r="A7" i="10"/>
  <c r="U19" i="16"/>
  <c r="U17" i="16"/>
  <c r="U12" i="16"/>
  <c r="U11" i="16"/>
  <c r="U10" i="16"/>
  <c r="U9" i="16"/>
  <c r="R19" i="17"/>
  <c r="R18" i="17"/>
  <c r="R16" i="17"/>
  <c r="R11" i="17"/>
  <c r="R10" i="17"/>
  <c r="R9" i="17"/>
  <c r="U18" i="16"/>
  <c r="U16" i="16"/>
  <c r="I17" i="17"/>
  <c r="I17" i="16"/>
  <c r="I16" i="17"/>
  <c r="I16" i="16"/>
  <c r="I11" i="17"/>
  <c r="I11" i="16"/>
  <c r="P12" i="21"/>
  <c r="Z10" i="21"/>
  <c r="AO17" i="20"/>
  <c r="AO18" i="20"/>
  <c r="AO16" i="20"/>
  <c r="BG17" i="16"/>
  <c r="BG18" i="16"/>
  <c r="BG16" i="16"/>
  <c r="BE10" i="21"/>
  <c r="BE28" i="21"/>
  <c r="BE27" i="21"/>
  <c r="BE20" i="21"/>
  <c r="BD12" i="21"/>
  <c r="BD14" i="21" s="1"/>
  <c r="BC12" i="21"/>
  <c r="BC14" i="21" s="1"/>
  <c r="BD28" i="21"/>
  <c r="BD27" i="21"/>
  <c r="BD20" i="21"/>
  <c r="BC28" i="21"/>
  <c r="BC27" i="21"/>
  <c r="BC20" i="21"/>
  <c r="AU10" i="21"/>
  <c r="AU12" i="21"/>
  <c r="K12" i="21"/>
  <c r="K10" i="21"/>
  <c r="J10" i="21"/>
  <c r="J11" i="21"/>
  <c r="J12" i="21"/>
  <c r="J13" i="21"/>
  <c r="J9" i="21"/>
  <c r="O12" i="21"/>
  <c r="BG11" i="16"/>
  <c r="BG12" i="16"/>
  <c r="BG9" i="16"/>
  <c r="AQ17" i="20"/>
  <c r="AT14" i="13"/>
  <c r="AV14" i="13"/>
  <c r="AX14" i="13"/>
  <c r="CN14" i="19"/>
  <c r="AQ18" i="20"/>
  <c r="CO14" i="8"/>
  <c r="CP14" i="8"/>
  <c r="CN14" i="8"/>
  <c r="CN21" i="8" s="1"/>
  <c r="AG12" i="21"/>
  <c r="AK12" i="21"/>
  <c r="AK10" i="21"/>
  <c r="AC10" i="21"/>
  <c r="AC12" i="21"/>
  <c r="O20"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28" i="21"/>
  <c r="AW27" i="21"/>
  <c r="AU14" i="21"/>
  <c r="AU28" i="21"/>
  <c r="AU27" i="21"/>
  <c r="AS12" i="21"/>
  <c r="AS10" i="21"/>
  <c r="AS28" i="21"/>
  <c r="AS27" i="21"/>
  <c r="AS23" i="21"/>
  <c r="AQ28" i="21"/>
  <c r="AQ27" i="21"/>
  <c r="AN12" i="21"/>
  <c r="AN10" i="21"/>
  <c r="AM12" i="21"/>
  <c r="AM10" i="21"/>
  <c r="AL12" i="21"/>
  <c r="AL10" i="21"/>
  <c r="AO12" i="21"/>
  <c r="AO10" i="21"/>
  <c r="AJ12" i="21"/>
  <c r="AJ10" i="21"/>
  <c r="AI12" i="21"/>
  <c r="AI28" i="21"/>
  <c r="AI27" i="21"/>
  <c r="AG10" i="21"/>
  <c r="AG28" i="21"/>
  <c r="AG27" i="21"/>
  <c r="AE12" i="21"/>
  <c r="AE28" i="21"/>
  <c r="AE27" i="21"/>
  <c r="AC28" i="21"/>
  <c r="AC27" i="21"/>
  <c r="Z12" i="21"/>
  <c r="V28" i="21"/>
  <c r="V27" i="21"/>
  <c r="O10" i="21"/>
  <c r="I10" i="21"/>
  <c r="T28" i="21"/>
  <c r="T27" i="21"/>
  <c r="M10" i="21"/>
  <c r="L10" i="21"/>
  <c r="L14" i="21" s="1"/>
  <c r="O28" i="21"/>
  <c r="O27" i="21"/>
  <c r="P27" i="21"/>
  <c r="P28" i="21"/>
  <c r="J28" i="21"/>
  <c r="J27" i="21"/>
  <c r="C32" i="21"/>
  <c r="AY28" i="21"/>
  <c r="AV28" i="21"/>
  <c r="AT28" i="21"/>
  <c r="AR28" i="21"/>
  <c r="AP28" i="21"/>
  <c r="AO28" i="21"/>
  <c r="AN28" i="21"/>
  <c r="AM28" i="21"/>
  <c r="AL28" i="21"/>
  <c r="AK28" i="21"/>
  <c r="AJ28" i="21"/>
  <c r="AH28" i="21"/>
  <c r="AF28" i="21"/>
  <c r="AD28" i="21"/>
  <c r="AB28" i="21"/>
  <c r="AA28" i="21"/>
  <c r="Z28" i="21"/>
  <c r="Y28" i="21"/>
  <c r="U28" i="21"/>
  <c r="S28" i="21"/>
  <c r="R28" i="21"/>
  <c r="Q28" i="21"/>
  <c r="N28" i="21"/>
  <c r="M28" i="21"/>
  <c r="L28" i="21"/>
  <c r="K28" i="21"/>
  <c r="I28" i="21"/>
  <c r="H28" i="21"/>
  <c r="G28" i="21"/>
  <c r="F28" i="21"/>
  <c r="E28"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C21" i="21"/>
  <c r="Y20" i="21"/>
  <c r="C20" i="21"/>
  <c r="I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21" i="20"/>
  <c r="C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0" i="20" s="1"/>
  <c r="M18" i="20"/>
  <c r="M20"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32" i="20"/>
  <c r="AZ28" i="20"/>
  <c r="AX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T28" i="20"/>
  <c r="S28" i="20"/>
  <c r="R28" i="20"/>
  <c r="Q28" i="20"/>
  <c r="P28" i="20"/>
  <c r="O28" i="20"/>
  <c r="N28" i="20"/>
  <c r="M28" i="20"/>
  <c r="L28" i="20"/>
  <c r="K28" i="20"/>
  <c r="J28" i="20"/>
  <c r="I28" i="20"/>
  <c r="H28" i="20"/>
  <c r="G28" i="20"/>
  <c r="F28" i="20"/>
  <c r="E28"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14" i="20"/>
  <c r="AV14" i="20"/>
  <c r="AU14" i="20"/>
  <c r="M14" i="20"/>
  <c r="H14" i="20"/>
  <c r="S14" i="20"/>
  <c r="C5" i="20"/>
  <c r="C2" i="20"/>
  <c r="C1" i="20"/>
  <c r="BG19" i="16"/>
  <c r="BG10" i="16"/>
  <c r="BG13" i="16"/>
  <c r="E10" i="16"/>
  <c r="CP21" i="19"/>
  <c r="CO21" i="19"/>
  <c r="BU21" i="19"/>
  <c r="BT21" i="19"/>
  <c r="BS21" i="19"/>
  <c r="BR21" i="19"/>
  <c r="BQ21" i="19"/>
  <c r="BP21" i="19"/>
  <c r="BO21" i="19"/>
  <c r="BN21" i="19"/>
  <c r="AB21" i="19"/>
  <c r="EN20" i="19"/>
  <c r="EM20" i="19"/>
  <c r="EL20" i="19"/>
  <c r="EK20" i="19"/>
  <c r="EK21" i="19" s="1"/>
  <c r="EJ20" i="19"/>
  <c r="EJ21" i="19" s="1"/>
  <c r="EI20" i="19"/>
  <c r="EI21" i="19" s="1"/>
  <c r="EH20" i="19"/>
  <c r="EH21" i="19" s="1"/>
  <c r="EG20" i="19"/>
  <c r="EG21" i="19" s="1"/>
  <c r="EF20" i="19"/>
  <c r="EF21" i="19" s="1"/>
  <c r="EE20" i="19"/>
  <c r="EE21" i="19" s="1"/>
  <c r="ED20" i="19"/>
  <c r="ED21" i="19" s="1"/>
  <c r="EC20" i="19"/>
  <c r="EC21" i="19" s="1"/>
  <c r="EB20" i="19"/>
  <c r="EB21" i="19" s="1"/>
  <c r="EA20" i="19"/>
  <c r="EA21" i="19" s="1"/>
  <c r="DZ20" i="19"/>
  <c r="DZ21" i="19" s="1"/>
  <c r="DY20" i="19"/>
  <c r="DY21" i="19" s="1"/>
  <c r="DX20" i="19"/>
  <c r="DX21" i="19" s="1"/>
  <c r="DW20" i="19"/>
  <c r="DW21" i="19" s="1"/>
  <c r="DV20" i="19"/>
  <c r="DV21" i="19" s="1"/>
  <c r="DU20" i="19"/>
  <c r="DU21" i="19" s="1"/>
  <c r="DT20" i="19"/>
  <c r="DT21" i="19" s="1"/>
  <c r="DS20" i="19"/>
  <c r="DS21" i="19" s="1"/>
  <c r="DR20" i="19"/>
  <c r="DR21" i="19" s="1"/>
  <c r="DQ20" i="19"/>
  <c r="DQ21" i="19" s="1"/>
  <c r="DP20" i="19"/>
  <c r="DP21" i="19" s="1"/>
  <c r="DO20" i="19"/>
  <c r="DO21" i="19" s="1"/>
  <c r="DN20" i="19"/>
  <c r="DN21" i="19" s="1"/>
  <c r="DM20" i="19"/>
  <c r="DM21" i="19" s="1"/>
  <c r="DL20" i="19"/>
  <c r="DK20" i="19"/>
  <c r="DJ20" i="19"/>
  <c r="DI20" i="19"/>
  <c r="DH20" i="19"/>
  <c r="DG20" i="19"/>
  <c r="DF20" i="19"/>
  <c r="DF21" i="19" s="1"/>
  <c r="DE20" i="19"/>
  <c r="DE21" i="19" s="1"/>
  <c r="DD20" i="19"/>
  <c r="DD21" i="19" s="1"/>
  <c r="DC20" i="19"/>
  <c r="DC21" i="19" s="1"/>
  <c r="DB20" i="19"/>
  <c r="DB21" i="19" s="1"/>
  <c r="DA20" i="19"/>
  <c r="CZ20" i="19"/>
  <c r="CY20" i="19"/>
  <c r="CW20" i="19"/>
  <c r="CV20" i="19"/>
  <c r="CL20" i="19"/>
  <c r="CK20" i="19"/>
  <c r="CJ20" i="19"/>
  <c r="CI20" i="19"/>
  <c r="CH20" i="19"/>
  <c r="CG20" i="19"/>
  <c r="CF20" i="19"/>
  <c r="CE20" i="19"/>
  <c r="CD20" i="19"/>
  <c r="CC20" i="19"/>
  <c r="CB20" i="19"/>
  <c r="CA20" i="19"/>
  <c r="BM20" i="19"/>
  <c r="BL20" i="19"/>
  <c r="BK20" i="19"/>
  <c r="BJ20" i="19"/>
  <c r="BI20" i="19"/>
  <c r="BH20" i="19"/>
  <c r="AT20" i="19"/>
  <c r="AS20" i="19"/>
  <c r="AR20" i="19"/>
  <c r="AQ20" i="19"/>
  <c r="AP20" i="19"/>
  <c r="AO20" i="19"/>
  <c r="AN20" i="19"/>
  <c r="AM20" i="19"/>
  <c r="AL20" i="19"/>
  <c r="AK20" i="19"/>
  <c r="AJ20" i="19"/>
  <c r="AI20" i="19"/>
  <c r="AH20" i="19"/>
  <c r="AG20" i="19"/>
  <c r="AF20" i="19"/>
  <c r="AE20" i="19"/>
  <c r="AD20" i="19"/>
  <c r="AC20" i="19"/>
  <c r="AB20" i="19"/>
  <c r="AA20" i="19"/>
  <c r="Z20" i="19"/>
  <c r="Y20" i="19"/>
  <c r="X20" i="19"/>
  <c r="W20" i="19"/>
  <c r="V20" i="19"/>
  <c r="U20" i="19"/>
  <c r="T20" i="19"/>
  <c r="S20" i="19"/>
  <c r="R20" i="19"/>
  <c r="Q20" i="19"/>
  <c r="P20" i="19"/>
  <c r="O20" i="19"/>
  <c r="N20" i="19"/>
  <c r="M20" i="19"/>
  <c r="L20" i="19"/>
  <c r="K20" i="19"/>
  <c r="J20" i="19"/>
  <c r="I20" i="19"/>
  <c r="AZ20" i="19"/>
  <c r="EN14" i="19"/>
  <c r="EM14" i="19"/>
  <c r="EL14" i="19"/>
  <c r="CV14" i="19"/>
  <c r="CU14" i="19"/>
  <c r="CT14" i="19"/>
  <c r="CS14" i="19"/>
  <c r="CL14" i="19"/>
  <c r="CK14" i="19"/>
  <c r="CJ14" i="19"/>
  <c r="CI14" i="19"/>
  <c r="CH14" i="19"/>
  <c r="CG14" i="19"/>
  <c r="CF14" i="19"/>
  <c r="CE14" i="19"/>
  <c r="CD14" i="19"/>
  <c r="CC14" i="19"/>
  <c r="CB14" i="19"/>
  <c r="CA14" i="19"/>
  <c r="BM14" i="19"/>
  <c r="BM2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0" i="8"/>
  <c r="EM20" i="8"/>
  <c r="EN20" i="8"/>
  <c r="O10" i="17"/>
  <c r="O11" i="17"/>
  <c r="O12" i="17"/>
  <c r="O13" i="17"/>
  <c r="O9" i="17"/>
  <c r="I9" i="17"/>
  <c r="I10" i="17"/>
  <c r="I13" i="17"/>
  <c r="I18" i="17"/>
  <c r="I27" i="17"/>
  <c r="I28" i="17"/>
  <c r="AR10" i="17"/>
  <c r="AR11" i="17"/>
  <c r="AR12" i="17"/>
  <c r="AR13" i="17"/>
  <c r="AR9" i="17"/>
  <c r="BM10" i="16"/>
  <c r="BM11" i="16"/>
  <c r="BM12" i="16"/>
  <c r="BM9" i="16"/>
  <c r="V28" i="17"/>
  <c r="V27" i="17"/>
  <c r="AR28" i="16"/>
  <c r="AR27" i="16"/>
  <c r="AH28" i="16"/>
  <c r="AI28" i="16"/>
  <c r="AH27" i="16"/>
  <c r="AI27" i="16"/>
  <c r="AD28" i="16"/>
  <c r="AD27" i="16"/>
  <c r="Y28" i="16"/>
  <c r="Y27" i="16"/>
  <c r="N28" i="16"/>
  <c r="N27" i="16"/>
  <c r="K28" i="16"/>
  <c r="K27" i="16"/>
  <c r="AX10" i="17"/>
  <c r="AX11" i="17"/>
  <c r="AX12" i="17"/>
  <c r="AX13" i="17"/>
  <c r="AX9" i="17"/>
  <c r="AF10" i="17"/>
  <c r="AF11" i="17"/>
  <c r="AF12" i="17"/>
  <c r="AF13" i="17"/>
  <c r="AF9" i="17"/>
  <c r="AR14" i="16"/>
  <c r="EK20" i="8"/>
  <c r="EK21" i="8" s="1"/>
  <c r="AR20" i="16"/>
  <c r="AI12" i="16"/>
  <c r="AI9" i="16"/>
  <c r="AH11" i="16"/>
  <c r="AH12" i="16"/>
  <c r="AH9" i="16"/>
  <c r="AH20" i="16"/>
  <c r="AI20" i="16"/>
  <c r="AA13" i="17"/>
  <c r="AF13" i="16"/>
  <c r="AA10" i="17"/>
  <c r="AF10" i="16"/>
  <c r="AA11" i="17"/>
  <c r="AA12" i="17"/>
  <c r="AF11" i="16"/>
  <c r="AF12" i="16"/>
  <c r="AA9" i="17"/>
  <c r="AF9" i="16"/>
  <c r="AD12" i="16"/>
  <c r="AD9" i="16"/>
  <c r="AD20" i="16"/>
  <c r="Z10" i="17"/>
  <c r="Z11" i="17"/>
  <c r="Z12" i="17"/>
  <c r="Z13" i="17"/>
  <c r="Z9" i="17"/>
  <c r="Y13" i="17"/>
  <c r="AB13" i="16"/>
  <c r="Y12" i="17"/>
  <c r="AB12" i="16"/>
  <c r="Y11" i="17"/>
  <c r="AB11" i="16"/>
  <c r="Y10" i="17"/>
  <c r="AB10" i="16"/>
  <c r="Y9" i="17"/>
  <c r="AB9" i="16"/>
  <c r="W11" i="17"/>
  <c r="Z11" i="16"/>
  <c r="W9" i="17"/>
  <c r="Z9" i="16"/>
  <c r="V12" i="17"/>
  <c r="V9" i="17"/>
  <c r="V20" i="17"/>
  <c r="Y12" i="16"/>
  <c r="Y9" i="16"/>
  <c r="Y20" i="16"/>
  <c r="N11" i="16"/>
  <c r="N12" i="16"/>
  <c r="N9" i="16"/>
  <c r="N20" i="16"/>
  <c r="K10" i="16"/>
  <c r="K11" i="16"/>
  <c r="K12" i="16"/>
  <c r="K13" i="16"/>
  <c r="K9" i="16"/>
  <c r="K20" i="16"/>
  <c r="I10" i="16"/>
  <c r="I13" i="16"/>
  <c r="I9" i="16"/>
  <c r="G13" i="16"/>
  <c r="G13" i="17"/>
  <c r="G11" i="17"/>
  <c r="G12" i="17"/>
  <c r="G11" i="16"/>
  <c r="G12" i="16"/>
  <c r="G10" i="17"/>
  <c r="G10" i="16"/>
  <c r="G9" i="17"/>
  <c r="G9" i="16"/>
  <c r="E10" i="17"/>
  <c r="E11" i="17"/>
  <c r="E12" i="17"/>
  <c r="E13" i="17"/>
  <c r="E9" i="17"/>
  <c r="E11" i="16"/>
  <c r="E12" i="16"/>
  <c r="E13" i="16"/>
  <c r="E9" i="16"/>
  <c r="G3" i="18"/>
  <c r="H11" i="11"/>
  <c r="R19" i="16"/>
  <c r="BM19" i="16" s="1"/>
  <c r="AT19" i="17"/>
  <c r="BO19" i="16"/>
  <c r="K19" i="17"/>
  <c r="W18" i="17"/>
  <c r="W16" i="17"/>
  <c r="Z18" i="16"/>
  <c r="Z16" i="16"/>
  <c r="C2" i="16"/>
  <c r="AR19" i="17"/>
  <c r="K17" i="17"/>
  <c r="K18" i="17"/>
  <c r="K16" i="17"/>
  <c r="J28" i="17"/>
  <c r="J27" i="17"/>
  <c r="J19" i="17"/>
  <c r="J18" i="17"/>
  <c r="J17" i="17"/>
  <c r="J16" i="17"/>
  <c r="J13" i="17"/>
  <c r="J10" i="17"/>
  <c r="J9" i="17"/>
  <c r="K9" i="17"/>
  <c r="K10" i="17"/>
  <c r="K11" i="17"/>
  <c r="K12" i="17"/>
  <c r="K13" i="17"/>
  <c r="AQ13" i="17" s="1"/>
  <c r="K27" i="17"/>
  <c r="K28" i="17"/>
  <c r="J28" i="16"/>
  <c r="J27" i="16"/>
  <c r="J19" i="16"/>
  <c r="J18" i="16"/>
  <c r="J17" i="16"/>
  <c r="J16" i="16"/>
  <c r="J13" i="16"/>
  <c r="J10" i="16"/>
  <c r="J9" i="16"/>
  <c r="AT14" i="8"/>
  <c r="AS20" i="8"/>
  <c r="AT20" i="8"/>
  <c r="AT28" i="17"/>
  <c r="AV28" i="17"/>
  <c r="AS28" i="17"/>
  <c r="Z28" i="17"/>
  <c r="Y28" i="17"/>
  <c r="Z27" i="17"/>
  <c r="Y27" i="17"/>
  <c r="AD28" i="17"/>
  <c r="AE28" i="17"/>
  <c r="AD27" i="17"/>
  <c r="AE27" i="17"/>
  <c r="AT27" i="17"/>
  <c r="AV27" i="17"/>
  <c r="AS27" i="17"/>
  <c r="AK28" i="17"/>
  <c r="AK27" i="17"/>
  <c r="AQ28" i="17"/>
  <c r="AR28" i="17"/>
  <c r="AR27" i="17"/>
  <c r="AQ27" i="17"/>
  <c r="Q28" i="17"/>
  <c r="R28" i="17"/>
  <c r="S28" i="17"/>
  <c r="L28" i="17"/>
  <c r="M28" i="17"/>
  <c r="N28" i="17"/>
  <c r="O28" i="17"/>
  <c r="H28" i="17"/>
  <c r="P28" i="17"/>
  <c r="P27" i="17"/>
  <c r="Q27" i="17"/>
  <c r="R27" i="17"/>
  <c r="S27" i="17"/>
  <c r="L27" i="17"/>
  <c r="M27" i="17"/>
  <c r="N27" i="17"/>
  <c r="O27" i="17"/>
  <c r="H27" i="17"/>
  <c r="BN28" i="16"/>
  <c r="BO28" i="16"/>
  <c r="BN27" i="16"/>
  <c r="BO27" i="16"/>
  <c r="BK28" i="16"/>
  <c r="BK27" i="16"/>
  <c r="BD28" i="16"/>
  <c r="BD27" i="16"/>
  <c r="AW28" i="16"/>
  <c r="AX28" i="16"/>
  <c r="AY28" i="16"/>
  <c r="AZ28" i="16"/>
  <c r="AW27" i="16"/>
  <c r="AX27" i="16"/>
  <c r="AY27" i="16"/>
  <c r="AZ27" i="16"/>
  <c r="AN28" i="16"/>
  <c r="AO28" i="16"/>
  <c r="AP28" i="16"/>
  <c r="AQ28" i="16"/>
  <c r="AN27" i="16"/>
  <c r="AO27" i="16"/>
  <c r="AP27" i="16"/>
  <c r="AQ27" i="16"/>
  <c r="AL27" i="16"/>
  <c r="V28" i="16"/>
  <c r="V27" i="16"/>
  <c r="H28" i="16"/>
  <c r="S28" i="16"/>
  <c r="T28" i="16"/>
  <c r="H27" i="16"/>
  <c r="S27" i="16"/>
  <c r="T27" i="16"/>
  <c r="M28" i="16"/>
  <c r="O28" i="16"/>
  <c r="P28" i="16"/>
  <c r="M27" i="16"/>
  <c r="O27" i="16"/>
  <c r="P27" i="16"/>
  <c r="AT20" i="13"/>
  <c r="AU20" i="13"/>
  <c r="AV20" i="13"/>
  <c r="AW20" i="13"/>
  <c r="AX20" i="13"/>
  <c r="AS20" i="13"/>
  <c r="C2" i="17"/>
  <c r="C1" i="17"/>
  <c r="C1" i="16"/>
  <c r="AT17" i="17"/>
  <c r="AT18" i="17"/>
  <c r="AT16" i="17"/>
  <c r="M18" i="17"/>
  <c r="L18" i="17"/>
  <c r="BO17" i="16"/>
  <c r="BO18" i="16"/>
  <c r="BO16" i="16"/>
  <c r="P18" i="16"/>
  <c r="CW20" i="8"/>
  <c r="CY20" i="8"/>
  <c r="CZ20" i="8"/>
  <c r="DA20" i="8"/>
  <c r="DB20" i="8"/>
  <c r="DB21" i="8" s="1"/>
  <c r="DC20" i="8"/>
  <c r="DC21" i="8" s="1"/>
  <c r="DD20" i="8"/>
  <c r="DD21" i="8" s="1"/>
  <c r="DE20" i="8"/>
  <c r="DE21" i="8" s="1"/>
  <c r="DF20" i="8"/>
  <c r="DF21" i="8" s="1"/>
  <c r="DG20" i="8"/>
  <c r="DH20" i="8"/>
  <c r="DI20" i="8"/>
  <c r="DJ20" i="8"/>
  <c r="DK20" i="8"/>
  <c r="DL20" i="8"/>
  <c r="DM20" i="8"/>
  <c r="DM21" i="8" s="1"/>
  <c r="DN20" i="8"/>
  <c r="DN21" i="8" s="1"/>
  <c r="DO20" i="8"/>
  <c r="DO21" i="8" s="1"/>
  <c r="DP20" i="8"/>
  <c r="DP21" i="8" s="1"/>
  <c r="DQ20" i="8"/>
  <c r="DQ21" i="8" s="1"/>
  <c r="DR20" i="8"/>
  <c r="DR21" i="8" s="1"/>
  <c r="DS20" i="8"/>
  <c r="DS21" i="8" s="1"/>
  <c r="DT20" i="8"/>
  <c r="DT21" i="8" s="1"/>
  <c r="DU20" i="8"/>
  <c r="DU21" i="8" s="1"/>
  <c r="DV20" i="8"/>
  <c r="DV21" i="8" s="1"/>
  <c r="DW20" i="8"/>
  <c r="DW21" i="8" s="1"/>
  <c r="DX20" i="8"/>
  <c r="DX21" i="8" s="1"/>
  <c r="DY20" i="8"/>
  <c r="DY21" i="8" s="1"/>
  <c r="DZ20" i="8"/>
  <c r="DZ21" i="8" s="1"/>
  <c r="EA20" i="8"/>
  <c r="EA21" i="8" s="1"/>
  <c r="EB20" i="8"/>
  <c r="EB21" i="8" s="1"/>
  <c r="EC20" i="8"/>
  <c r="EC21" i="8" s="1"/>
  <c r="ED20" i="8"/>
  <c r="ED21" i="8" s="1"/>
  <c r="EE20" i="8"/>
  <c r="EE21" i="8" s="1"/>
  <c r="EF20" i="8"/>
  <c r="EF21" i="8" s="1"/>
  <c r="EG20" i="8"/>
  <c r="EG21" i="8" s="1"/>
  <c r="EH20" i="8"/>
  <c r="EH21" i="8" s="1"/>
  <c r="EI20" i="8"/>
  <c r="EI21" i="8" s="1"/>
  <c r="EJ20" i="8"/>
  <c r="EJ21" i="8" s="1"/>
  <c r="L16" i="17"/>
  <c r="M16" i="17"/>
  <c r="P16" i="16"/>
  <c r="O18" i="16"/>
  <c r="O16" i="16"/>
  <c r="AB20" i="17"/>
  <c r="AC20" i="17"/>
  <c r="A19" i="17"/>
  <c r="C19" i="17"/>
  <c r="AF17" i="17"/>
  <c r="AF18" i="17"/>
  <c r="AF16" i="17"/>
  <c r="Z17" i="17"/>
  <c r="Z18" i="17"/>
  <c r="Z16" i="17"/>
  <c r="O17" i="17"/>
  <c r="AR17" i="17" s="1"/>
  <c r="O18" i="17"/>
  <c r="AR18" i="17" s="1"/>
  <c r="O16" i="17"/>
  <c r="AR16" i="17" s="1"/>
  <c r="L14" i="17"/>
  <c r="M14" i="17"/>
  <c r="G17" i="17"/>
  <c r="G18" i="17"/>
  <c r="G16" i="17"/>
  <c r="G28" i="17"/>
  <c r="G27" i="17"/>
  <c r="AX17" i="17"/>
  <c r="AX18" i="17"/>
  <c r="AX16" i="17"/>
  <c r="AT14" i="17"/>
  <c r="AW10" i="17"/>
  <c r="AW11" i="17"/>
  <c r="AW12" i="17"/>
  <c r="AW13" i="17"/>
  <c r="AW16" i="17"/>
  <c r="AW17" i="17"/>
  <c r="AW18" i="17"/>
  <c r="AW9" i="17"/>
  <c r="AV10" i="17"/>
  <c r="AV11" i="17"/>
  <c r="AV12" i="17"/>
  <c r="AV13" i="17"/>
  <c r="AV16" i="17"/>
  <c r="AV17" i="17"/>
  <c r="AV18" i="17"/>
  <c r="AV9" i="17"/>
  <c r="AS14" i="17"/>
  <c r="AS17" i="17"/>
  <c r="AS18" i="17"/>
  <c r="AS16" i="17"/>
  <c r="AP10" i="17"/>
  <c r="AP11" i="17"/>
  <c r="AP12" i="17"/>
  <c r="AP13" i="17"/>
  <c r="AP16" i="17"/>
  <c r="AP17" i="17"/>
  <c r="AP18" i="17"/>
  <c r="AP9" i="17"/>
  <c r="BJ9" i="16"/>
  <c r="AN14" i="17"/>
  <c r="AM10" i="17"/>
  <c r="AM11" i="17"/>
  <c r="AM12" i="17"/>
  <c r="AM13" i="17"/>
  <c r="AM16" i="17"/>
  <c r="AM17" i="17"/>
  <c r="AM18" i="17"/>
  <c r="AM9" i="17"/>
  <c r="AL10" i="17"/>
  <c r="AL11" i="17"/>
  <c r="AL12" i="17"/>
  <c r="AL13" i="17"/>
  <c r="AL16" i="17"/>
  <c r="AL17" i="17"/>
  <c r="AL18" i="17"/>
  <c r="AL9" i="17"/>
  <c r="AK10" i="17"/>
  <c r="AK11" i="17"/>
  <c r="AK12" i="17"/>
  <c r="AK13" i="17"/>
  <c r="AK16" i="17"/>
  <c r="AK17" i="17"/>
  <c r="AK18" i="17"/>
  <c r="AK9" i="17"/>
  <c r="AJ10" i="17"/>
  <c r="AJ11" i="17"/>
  <c r="AJ12" i="17"/>
  <c r="AJ13" i="17"/>
  <c r="AJ16" i="17"/>
  <c r="AJ17" i="17"/>
  <c r="AJ18" i="17"/>
  <c r="AJ9" i="17"/>
  <c r="AI14" i="17"/>
  <c r="AI20" i="17"/>
  <c r="AH14" i="17"/>
  <c r="AH20" i="17"/>
  <c r="AG10" i="17"/>
  <c r="AG11" i="17"/>
  <c r="AG12" i="17"/>
  <c r="AG13" i="17"/>
  <c r="AG18" i="17"/>
  <c r="AG9" i="17"/>
  <c r="BN17" i="16"/>
  <c r="BN18" i="16"/>
  <c r="BN16" i="16"/>
  <c r="BU10" i="16"/>
  <c r="BU11" i="16"/>
  <c r="BU12" i="16"/>
  <c r="BU13" i="16"/>
  <c r="BU16" i="16"/>
  <c r="BU17" i="16"/>
  <c r="BU18" i="16"/>
  <c r="BU19" i="16"/>
  <c r="BU9" i="16"/>
  <c r="BT10" i="16"/>
  <c r="BT11" i="16"/>
  <c r="BT12" i="16"/>
  <c r="BT13" i="16"/>
  <c r="BT16" i="16"/>
  <c r="BT17" i="16"/>
  <c r="BT18" i="16"/>
  <c r="BT19" i="16"/>
  <c r="BQ10" i="16"/>
  <c r="BQ11" i="16"/>
  <c r="BQ12" i="16"/>
  <c r="BQ13" i="16"/>
  <c r="BQ16" i="16"/>
  <c r="BQ17" i="16"/>
  <c r="BQ18" i="16"/>
  <c r="BQ19" i="16"/>
  <c r="BQ9" i="16"/>
  <c r="BK10" i="16"/>
  <c r="BK11" i="16"/>
  <c r="BK12" i="16"/>
  <c r="BK13" i="16"/>
  <c r="BK20" i="16"/>
  <c r="BK9" i="16"/>
  <c r="BJ10" i="16"/>
  <c r="BJ11" i="16"/>
  <c r="BJ12" i="16"/>
  <c r="BJ13" i="16"/>
  <c r="BJ16" i="16"/>
  <c r="BJ17" i="16"/>
  <c r="BJ18" i="16"/>
  <c r="BJ19" i="16"/>
  <c r="C16" i="2"/>
  <c r="D16" i="2" s="1"/>
  <c r="C9" i="2"/>
  <c r="D9" i="2" s="1"/>
  <c r="BF10" i="16"/>
  <c r="BF11" i="16"/>
  <c r="BF12" i="16"/>
  <c r="BF13" i="16"/>
  <c r="BF16" i="16"/>
  <c r="BF17" i="16"/>
  <c r="BF18" i="16"/>
  <c r="BF9" i="16"/>
  <c r="BE10" i="16"/>
  <c r="BE11" i="16"/>
  <c r="BE12" i="16"/>
  <c r="BE13" i="16"/>
  <c r="BE16" i="16"/>
  <c r="BE17" i="16"/>
  <c r="BE18" i="16"/>
  <c r="BE9" i="16"/>
  <c r="BD10" i="16"/>
  <c r="BD11" i="16"/>
  <c r="BD12" i="16"/>
  <c r="BD13" i="16"/>
  <c r="BD16" i="16"/>
  <c r="BD17" i="16"/>
  <c r="BD18" i="16"/>
  <c r="BD9" i="16"/>
  <c r="BC10" i="16"/>
  <c r="BC11" i="16"/>
  <c r="BC12" i="16"/>
  <c r="BC13" i="16"/>
  <c r="BC16" i="16"/>
  <c r="BC17" i="16"/>
  <c r="BC18" i="16"/>
  <c r="BC19" i="16"/>
  <c r="BC9" i="16"/>
  <c r="BB14" i="16"/>
  <c r="BA20"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9" i="16"/>
  <c r="AU10" i="16"/>
  <c r="AU11" i="16"/>
  <c r="AU12" i="16"/>
  <c r="AU13" i="16"/>
  <c r="AU16" i="16"/>
  <c r="AU17" i="16"/>
  <c r="AU18" i="16"/>
  <c r="AU19" i="16"/>
  <c r="AU9" i="16"/>
  <c r="AT10" i="16"/>
  <c r="AT11" i="16"/>
  <c r="AT12" i="16"/>
  <c r="AT13" i="16"/>
  <c r="AT16" i="16"/>
  <c r="AT17" i="16"/>
  <c r="AT18" i="16"/>
  <c r="AT19" i="16"/>
  <c r="AT9" i="16"/>
  <c r="AS10" i="16"/>
  <c r="AS11" i="16"/>
  <c r="AS12" i="16"/>
  <c r="AS13" i="16"/>
  <c r="AS16" i="16"/>
  <c r="AS17" i="16"/>
  <c r="AS18" i="16"/>
  <c r="AS19" i="16"/>
  <c r="AS9" i="16"/>
  <c r="AQ14" i="16"/>
  <c r="AP14" i="16"/>
  <c r="AP20" i="16"/>
  <c r="AO14" i="16"/>
  <c r="AN14" i="16"/>
  <c r="AN20" i="16"/>
  <c r="AE10" i="17"/>
  <c r="AE11" i="17"/>
  <c r="AE12" i="17"/>
  <c r="AE13" i="17"/>
  <c r="AE16" i="17"/>
  <c r="AE17" i="17"/>
  <c r="AE18" i="17"/>
  <c r="AE9" i="17"/>
  <c r="AM10" i="16"/>
  <c r="AM11" i="16"/>
  <c r="AM12" i="16"/>
  <c r="AM13" i="16"/>
  <c r="AM16" i="16"/>
  <c r="AM17" i="16"/>
  <c r="AM18" i="16"/>
  <c r="AM19" i="16"/>
  <c r="AM9" i="16"/>
  <c r="AD14" i="17"/>
  <c r="AD20" i="17"/>
  <c r="AC14" i="17"/>
  <c r="AB14" i="17"/>
  <c r="AL20" i="16"/>
  <c r="AK14" i="16"/>
  <c r="AK20" i="16"/>
  <c r="AG14" i="16"/>
  <c r="AG20" i="16"/>
  <c r="AA18" i="17"/>
  <c r="AA17" i="17"/>
  <c r="AA16" i="17"/>
  <c r="AF19" i="16"/>
  <c r="AF18" i="16"/>
  <c r="AF17" i="16"/>
  <c r="AF16" i="16"/>
  <c r="Y17" i="17"/>
  <c r="Y18" i="17"/>
  <c r="Y16" i="17"/>
  <c r="AB18" i="16"/>
  <c r="AB17" i="16"/>
  <c r="AB16" i="16"/>
  <c r="AC10" i="16"/>
  <c r="AC11" i="16"/>
  <c r="AC12" i="16"/>
  <c r="AC13" i="16"/>
  <c r="AC16" i="16"/>
  <c r="AC17" i="16"/>
  <c r="AC18" i="16"/>
  <c r="AC19" i="16"/>
  <c r="AC9" i="16"/>
  <c r="AB19" i="16"/>
  <c r="W10" i="17"/>
  <c r="W12" i="17"/>
  <c r="W13" i="17"/>
  <c r="W17" i="17"/>
  <c r="Z10" i="16"/>
  <c r="Z12" i="16"/>
  <c r="Z13" i="16"/>
  <c r="Z17" i="16"/>
  <c r="Z19" i="16"/>
  <c r="R10" i="16"/>
  <c r="R11" i="16"/>
  <c r="R12" i="16"/>
  <c r="R13" i="16"/>
  <c r="R16" i="16"/>
  <c r="BM16" i="16" s="1"/>
  <c r="R17" i="16"/>
  <c r="BM17" i="16" s="1"/>
  <c r="R18" i="16"/>
  <c r="BM18" i="16" s="1"/>
  <c r="R9" i="16"/>
  <c r="Q10" i="16"/>
  <c r="Q11" i="16"/>
  <c r="Q12" i="16"/>
  <c r="Q13" i="16"/>
  <c r="Q16" i="16"/>
  <c r="Q17" i="16"/>
  <c r="Q18" i="16"/>
  <c r="Q19" i="16"/>
  <c r="Q9" i="16"/>
  <c r="N10" i="17"/>
  <c r="N11" i="17"/>
  <c r="N12" i="17"/>
  <c r="N13" i="17"/>
  <c r="N16" i="17"/>
  <c r="N17" i="17"/>
  <c r="N18" i="17"/>
  <c r="N9" i="17"/>
  <c r="O14" i="16"/>
  <c r="H14" i="16"/>
  <c r="BN14" i="16"/>
  <c r="BO14" i="16"/>
  <c r="BS14" i="16"/>
  <c r="AO20" i="16"/>
  <c r="AQ20" i="16"/>
  <c r="BB20" i="16"/>
  <c r="M16" i="16"/>
  <c r="M17" i="16"/>
  <c r="M18" i="16"/>
  <c r="M19" i="16"/>
  <c r="M10" i="16"/>
  <c r="M11" i="16"/>
  <c r="M12" i="16"/>
  <c r="M13" i="16"/>
  <c r="M9" i="16"/>
  <c r="E16" i="16"/>
  <c r="I18" i="16"/>
  <c r="I19" i="16"/>
  <c r="G19" i="16"/>
  <c r="G17" i="16"/>
  <c r="G18" i="16"/>
  <c r="G16" i="16"/>
  <c r="E17" i="17"/>
  <c r="E18" i="17"/>
  <c r="E16" i="17"/>
  <c r="E17" i="16"/>
  <c r="E18" i="16"/>
  <c r="E19" i="16"/>
  <c r="BJ27" i="16"/>
  <c r="BJ28" i="16"/>
  <c r="BG27" i="16"/>
  <c r="BG28" i="16"/>
  <c r="BI28" i="16"/>
  <c r="BI27" i="16"/>
  <c r="F28" i="17"/>
  <c r="E27" i="17"/>
  <c r="BB12" i="13"/>
  <c r="BB11" i="13"/>
  <c r="BA12" i="13"/>
  <c r="BD12" i="13" s="1"/>
  <c r="BA11" i="13"/>
  <c r="AZ12" i="13"/>
  <c r="AZ11" i="13"/>
  <c r="AY12" i="13"/>
  <c r="BG12" i="13" s="1"/>
  <c r="AY11" i="13"/>
  <c r="BG11" i="13" s="1"/>
  <c r="BB9" i="13"/>
  <c r="BA9" i="13"/>
  <c r="BD9" i="13" s="1"/>
  <c r="AY9" i="13"/>
  <c r="BC12" i="13"/>
  <c r="BC11" i="13"/>
  <c r="BC10" i="13"/>
  <c r="BB10" i="13"/>
  <c r="BA10" i="13"/>
  <c r="AZ10" i="13"/>
  <c r="AY10" i="13"/>
  <c r="BC9" i="13"/>
  <c r="BC19" i="13"/>
  <c r="BB19" i="13"/>
  <c r="BA19" i="13"/>
  <c r="AZ19" i="13"/>
  <c r="AY19" i="13"/>
  <c r="BC18" i="13"/>
  <c r="BB18" i="13"/>
  <c r="BA18" i="13"/>
  <c r="AZ18" i="13"/>
  <c r="AY18" i="13"/>
  <c r="BC17" i="13"/>
  <c r="BG17" i="13"/>
  <c r="BC16" i="13"/>
  <c r="BD16" i="13"/>
  <c r="BC13" i="13"/>
  <c r="BF13" i="13" s="1"/>
  <c r="BB13" i="13"/>
  <c r="BA13" i="13"/>
  <c r="AZ13" i="13"/>
  <c r="AY13" i="13"/>
  <c r="AW13" i="13"/>
  <c r="AW14" i="13" s="1"/>
  <c r="AU13" i="13"/>
  <c r="AU14" i="13" s="1"/>
  <c r="AS13" i="13"/>
  <c r="AS14" i="13" s="1"/>
  <c r="C5" i="17"/>
  <c r="C32" i="17"/>
  <c r="B22" i="17"/>
  <c r="C21" i="17"/>
  <c r="C20" i="17"/>
  <c r="C18" i="17"/>
  <c r="A18" i="17"/>
  <c r="C17" i="17"/>
  <c r="A17" i="17"/>
  <c r="C16" i="17"/>
  <c r="A16" i="17"/>
  <c r="C15" i="17"/>
  <c r="C14" i="17"/>
  <c r="C13" i="17"/>
  <c r="A13" i="17"/>
  <c r="C12" i="17"/>
  <c r="A12" i="17"/>
  <c r="C11" i="17"/>
  <c r="A11" i="17"/>
  <c r="C10" i="17"/>
  <c r="A10" i="17"/>
  <c r="C9" i="17"/>
  <c r="C8" i="17"/>
  <c r="C7" i="17"/>
  <c r="C32" i="16"/>
  <c r="C5" i="16"/>
  <c r="C21" i="16"/>
  <c r="C20" i="16"/>
  <c r="C19" i="16"/>
  <c r="A19" i="16"/>
  <c r="C18" i="16"/>
  <c r="A18" i="16"/>
  <c r="C17" i="16"/>
  <c r="A17" i="16"/>
  <c r="C16" i="16"/>
  <c r="A16" i="16"/>
  <c r="C15" i="16"/>
  <c r="C14" i="16"/>
  <c r="C13" i="16"/>
  <c r="A13" i="16"/>
  <c r="C12" i="16"/>
  <c r="A12" i="16"/>
  <c r="C11" i="16"/>
  <c r="A11" i="16"/>
  <c r="C10" i="16"/>
  <c r="A10" i="16"/>
  <c r="C9" i="16"/>
  <c r="A9" i="16"/>
  <c r="C8" i="16"/>
  <c r="C7" i="16"/>
  <c r="AP28" i="17"/>
  <c r="AO28" i="17"/>
  <c r="AN28" i="17"/>
  <c r="AM28" i="17"/>
  <c r="AL28" i="17"/>
  <c r="AJ28" i="17"/>
  <c r="AI28" i="17"/>
  <c r="AH28" i="17"/>
  <c r="AG28" i="17"/>
  <c r="AF28" i="17"/>
  <c r="AC28" i="17"/>
  <c r="AB28" i="17"/>
  <c r="AA28" i="17"/>
  <c r="X28" i="17"/>
  <c r="W28" i="17"/>
  <c r="E28" i="17"/>
  <c r="AP27" i="17"/>
  <c r="AO27" i="17"/>
  <c r="AN27" i="17"/>
  <c r="AM27" i="17"/>
  <c r="AL27" i="17"/>
  <c r="AJ27" i="17"/>
  <c r="AI27" i="17"/>
  <c r="AH27" i="17"/>
  <c r="AG27" i="17"/>
  <c r="AF27" i="17"/>
  <c r="AC27" i="17"/>
  <c r="AB27" i="17"/>
  <c r="AA27" i="17"/>
  <c r="X27" i="17"/>
  <c r="W27" i="17"/>
  <c r="F27" i="17"/>
  <c r="BQ28" i="16"/>
  <c r="BM28" i="16"/>
  <c r="BL28" i="16"/>
  <c r="BH28" i="16"/>
  <c r="BF28" i="16"/>
  <c r="BE28" i="16"/>
  <c r="BC28" i="16"/>
  <c r="BB28" i="16"/>
  <c r="BA28" i="16"/>
  <c r="AV28" i="16"/>
  <c r="AU28" i="16"/>
  <c r="AT28" i="16"/>
  <c r="AS28" i="16"/>
  <c r="AM28" i="16"/>
  <c r="AK28" i="16"/>
  <c r="AG28" i="16"/>
  <c r="AF28" i="16"/>
  <c r="AC28" i="16"/>
  <c r="AB28" i="16"/>
  <c r="AA28" i="16"/>
  <c r="Z28" i="16"/>
  <c r="U28" i="16"/>
  <c r="R28" i="16"/>
  <c r="Q28" i="16"/>
  <c r="I28" i="16"/>
  <c r="G28" i="16"/>
  <c r="F28" i="16"/>
  <c r="E28" i="16"/>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M14" i="8"/>
  <c r="BM20" i="8"/>
  <c r="J18" i="14"/>
  <c r="S18" i="11"/>
  <c r="S17" i="11"/>
  <c r="A2" i="8"/>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19" i="14"/>
  <c r="AA18" i="14"/>
  <c r="AA17" i="14"/>
  <c r="AA16" i="14"/>
  <c r="AA13" i="14"/>
  <c r="AA12" i="14"/>
  <c r="AA11" i="14"/>
  <c r="AA10" i="14"/>
  <c r="AA9" i="14"/>
  <c r="B4"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17" i="11"/>
  <c r="K18" i="11"/>
  <c r="K19" i="11"/>
  <c r="F19" i="11" s="1"/>
  <c r="K16" i="11"/>
  <c r="K10" i="11"/>
  <c r="F10" i="11" s="1"/>
  <c r="K11" i="11"/>
  <c r="K12" i="11"/>
  <c r="K13" i="11"/>
  <c r="F13" i="11" s="1"/>
  <c r="K9" i="11"/>
  <c r="A5" i="7"/>
  <c r="A5" i="6"/>
  <c r="B5" i="14"/>
  <c r="A5" i="2"/>
  <c r="S16" i="11"/>
  <c r="B10" i="3"/>
  <c r="B11" i="3"/>
  <c r="B12" i="3"/>
  <c r="B13" i="3"/>
  <c r="B15" i="3"/>
  <c r="B16" i="3"/>
  <c r="B17" i="3"/>
  <c r="B18" i="3"/>
  <c r="B19" i="3"/>
  <c r="CF20" i="8"/>
  <c r="N20" i="12" s="1"/>
  <c r="CE20" i="8"/>
  <c r="M20" i="12" s="1"/>
  <c r="CD20" i="8"/>
  <c r="CC20" i="8"/>
  <c r="CB20" i="8"/>
  <c r="CA20" i="8"/>
  <c r="BL20" i="8"/>
  <c r="BK20" i="8"/>
  <c r="BJ20" i="8"/>
  <c r="BI20" i="8"/>
  <c r="BH20" i="8"/>
  <c r="AR20" i="8"/>
  <c r="C20" i="3" s="1"/>
  <c r="AQ20" i="8"/>
  <c r="AP20" i="8"/>
  <c r="B20" i="2" s="1"/>
  <c r="AO20" i="8"/>
  <c r="B20" i="3" s="1"/>
  <c r="AN20" i="8"/>
  <c r="AM20" i="8"/>
  <c r="AL20" i="8"/>
  <c r="AK20" i="8"/>
  <c r="AJ20" i="8"/>
  <c r="T20" i="12" s="1"/>
  <c r="AI20" i="8"/>
  <c r="S20" i="12" s="1"/>
  <c r="AH20" i="8"/>
  <c r="R20" i="12" s="1"/>
  <c r="AG20" i="8"/>
  <c r="Q20" i="12" s="1"/>
  <c r="AF20" i="8"/>
  <c r="AE20" i="8"/>
  <c r="AD20" i="8"/>
  <c r="AC20" i="8"/>
  <c r="AB20" i="8"/>
  <c r="AA20" i="8"/>
  <c r="Z20" i="8"/>
  <c r="Y20" i="8"/>
  <c r="X20" i="8"/>
  <c r="W20" i="8"/>
  <c r="V20" i="8"/>
  <c r="U20" i="8"/>
  <c r="T20" i="8"/>
  <c r="S20" i="8"/>
  <c r="R20" i="8"/>
  <c r="Q20" i="8"/>
  <c r="P20" i="8"/>
  <c r="O20" i="8"/>
  <c r="M20" i="8"/>
  <c r="N20" i="8"/>
  <c r="L20" i="8"/>
  <c r="E20" i="7" s="1"/>
  <c r="K20" i="8"/>
  <c r="D20" i="7" s="1"/>
  <c r="J20" i="8"/>
  <c r="E20" i="12" s="1"/>
  <c r="I20" i="8"/>
  <c r="D20" i="12"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AI14" i="8"/>
  <c r="AH14" i="8"/>
  <c r="AG14" i="8"/>
  <c r="Q14" i="12" s="1"/>
  <c r="AF14" i="8"/>
  <c r="AE14" i="8"/>
  <c r="AE21" i="8" s="1"/>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0" i="8"/>
  <c r="CV14" i="8"/>
  <c r="CL20" i="8"/>
  <c r="CK20" i="8"/>
  <c r="CJ20" i="8"/>
  <c r="CI20" i="8"/>
  <c r="CH20" i="8"/>
  <c r="P20" i="12" s="1"/>
  <c r="CG20" i="8"/>
  <c r="O20" i="12" s="1"/>
  <c r="CU14" i="8"/>
  <c r="CT14" i="8"/>
  <c r="CS14" i="8"/>
  <c r="CL14" i="8"/>
  <c r="CK14" i="8"/>
  <c r="CJ14" i="8"/>
  <c r="AR14" i="21" s="1"/>
  <c r="CI14" i="8"/>
  <c r="CH14" i="8"/>
  <c r="P14" i="12" s="1"/>
  <c r="CG14" i="8"/>
  <c r="O14" i="12" s="1"/>
  <c r="A20" i="3"/>
  <c r="Q16" i="14"/>
  <c r="Q11" i="14"/>
  <c r="Q9" i="14"/>
  <c r="S4" i="9"/>
  <c r="S5" i="9"/>
  <c r="S6" i="9"/>
  <c r="S3" i="9"/>
  <c r="R8" i="9" s="1"/>
  <c r="BK19" i="11" s="1"/>
  <c r="H9" i="11"/>
  <c r="I11" i="11"/>
  <c r="I12" i="11"/>
  <c r="H12" i="11"/>
  <c r="I9" i="11"/>
  <c r="S9" i="11"/>
  <c r="AS13" i="8"/>
  <c r="U13" i="16" s="1"/>
  <c r="S11" i="11"/>
  <c r="AA17" i="11"/>
  <c r="AA16" i="11"/>
  <c r="AA12" i="11"/>
  <c r="AA11" i="11"/>
  <c r="AA19" i="11"/>
  <c r="AA18" i="11"/>
  <c r="AA13" i="11"/>
  <c r="AA10" i="11"/>
  <c r="K27" i="11"/>
  <c r="K28" i="11"/>
  <c r="L2" i="11"/>
  <c r="F2" i="11"/>
  <c r="N2" i="11"/>
  <c r="L19" i="11"/>
  <c r="L18" i="11"/>
  <c r="L17" i="11"/>
  <c r="L16" i="11"/>
  <c r="L13" i="11"/>
  <c r="L12" i="11"/>
  <c r="L11" i="11"/>
  <c r="L10" i="11"/>
  <c r="L9" i="11"/>
  <c r="E27" i="11"/>
  <c r="E28" i="11"/>
  <c r="AH27" i="11"/>
  <c r="AH28" i="11"/>
  <c r="M19" i="11"/>
  <c r="AR19" i="11" s="1"/>
  <c r="M18" i="11"/>
  <c r="AR18" i="11" s="1"/>
  <c r="M17" i="11"/>
  <c r="AR17" i="11" s="1"/>
  <c r="M16" i="11"/>
  <c r="AR16" i="11" s="1"/>
  <c r="M13" i="11"/>
  <c r="AR13" i="11" s="1"/>
  <c r="M12" i="11"/>
  <c r="AR12" i="11" s="1"/>
  <c r="M11" i="11"/>
  <c r="AR11" i="11" s="1"/>
  <c r="M10" i="11"/>
  <c r="AR10" i="11" s="1"/>
  <c r="M9" i="11"/>
  <c r="AR9" i="11" s="1"/>
  <c r="J19" i="11"/>
  <c r="I19" i="11"/>
  <c r="J18" i="11"/>
  <c r="I18" i="11"/>
  <c r="J17" i="11"/>
  <c r="I17" i="11"/>
  <c r="J16" i="11"/>
  <c r="I16" i="11"/>
  <c r="J13" i="11"/>
  <c r="I13" i="11"/>
  <c r="J12" i="11"/>
  <c r="J11" i="11"/>
  <c r="J10" i="11"/>
  <c r="I10" i="11"/>
  <c r="J9" i="11"/>
  <c r="H19" i="11"/>
  <c r="H18" i="11"/>
  <c r="N18" i="11" s="1"/>
  <c r="H17" i="11"/>
  <c r="N17" i="11" s="1"/>
  <c r="H16" i="11"/>
  <c r="N16" i="11" s="1"/>
  <c r="H13" i="11"/>
  <c r="H10" i="11"/>
  <c r="AF9" i="11"/>
  <c r="AF10" i="11"/>
  <c r="AF11" i="11"/>
  <c r="AF12" i="11"/>
  <c r="AF13" i="11"/>
  <c r="AF16" i="11"/>
  <c r="AF17" i="11"/>
  <c r="AF18" i="11"/>
  <c r="AF19" i="11"/>
  <c r="AF27" i="11"/>
  <c r="AF28" i="11"/>
  <c r="AB27" i="11"/>
  <c r="AC27" i="11"/>
  <c r="AD27" i="11"/>
  <c r="AB28" i="11"/>
  <c r="AC28" i="11"/>
  <c r="AD28" i="11"/>
  <c r="AD19" i="11"/>
  <c r="AD18" i="11"/>
  <c r="AD17" i="11"/>
  <c r="AD16" i="11"/>
  <c r="AD13" i="11"/>
  <c r="AD12" i="11"/>
  <c r="AD11" i="11"/>
  <c r="AD10" i="11"/>
  <c r="AD9" i="11"/>
  <c r="AB19" i="11"/>
  <c r="AB18" i="11"/>
  <c r="AB17" i="11"/>
  <c r="AB16" i="11"/>
  <c r="AB13" i="11"/>
  <c r="AB12" i="11"/>
  <c r="AB11" i="11"/>
  <c r="AB10" i="11"/>
  <c r="AB9" i="11"/>
  <c r="AA27" i="11"/>
  <c r="AA28" i="11"/>
  <c r="AA9" i="11"/>
  <c r="Z27" i="11"/>
  <c r="Z28" i="11"/>
  <c r="Z19" i="11"/>
  <c r="Z18" i="11"/>
  <c r="Z17" i="11"/>
  <c r="Z16" i="11"/>
  <c r="Z13" i="11"/>
  <c r="Z12" i="11"/>
  <c r="Z11" i="11"/>
  <c r="Z10" i="11"/>
  <c r="Z9" i="11"/>
  <c r="Y27" i="11"/>
  <c r="Y28" i="11"/>
  <c r="X27" i="11"/>
  <c r="X28" i="11"/>
  <c r="X19" i="11"/>
  <c r="X18" i="11"/>
  <c r="X17" i="11"/>
  <c r="X16" i="11"/>
  <c r="X13" i="11"/>
  <c r="X12" i="11"/>
  <c r="X11" i="11"/>
  <c r="X10" i="11"/>
  <c r="X9" i="11"/>
  <c r="S19" i="11"/>
  <c r="S13" i="11"/>
  <c r="S12" i="11"/>
  <c r="S10" i="11"/>
  <c r="U28" i="11"/>
  <c r="T28" i="11"/>
  <c r="S28" i="11"/>
  <c r="U27" i="11"/>
  <c r="T27" i="11"/>
  <c r="S27" i="11"/>
  <c r="R19" i="11"/>
  <c r="R18" i="11"/>
  <c r="R17" i="11"/>
  <c r="R16" i="11"/>
  <c r="R13" i="11"/>
  <c r="R12" i="11"/>
  <c r="R11" i="11"/>
  <c r="R10" i="11"/>
  <c r="R9" i="11"/>
  <c r="J27" i="11"/>
  <c r="L27" i="11"/>
  <c r="M27" i="11"/>
  <c r="N27" i="11"/>
  <c r="Q27" i="11"/>
  <c r="R27" i="11"/>
  <c r="J28" i="11"/>
  <c r="L28" i="11"/>
  <c r="M28" i="11"/>
  <c r="N28" i="11"/>
  <c r="Q28" i="11"/>
  <c r="R28" i="11"/>
  <c r="I28" i="11"/>
  <c r="H28" i="11"/>
  <c r="I27" i="11"/>
  <c r="H27" i="11"/>
  <c r="AR27" i="11"/>
  <c r="AR28" i="11"/>
  <c r="AT27" i="11"/>
  <c r="AU27" i="11"/>
  <c r="AV27" i="11"/>
  <c r="AX27" i="11"/>
  <c r="AT28" i="11"/>
  <c r="AU28" i="11"/>
  <c r="AV28" i="11"/>
  <c r="AX28" i="11"/>
  <c r="AX19" i="11"/>
  <c r="AX18" i="11"/>
  <c r="AX17" i="11"/>
  <c r="AX16" i="11"/>
  <c r="AX13" i="11"/>
  <c r="AX12" i="11"/>
  <c r="AX11" i="11"/>
  <c r="AX10" i="11"/>
  <c r="AX9" i="11"/>
  <c r="AV19" i="11"/>
  <c r="AV18" i="11"/>
  <c r="AV17" i="11"/>
  <c r="AV16" i="11"/>
  <c r="AV13" i="11"/>
  <c r="AV12" i="11"/>
  <c r="AV11" i="11"/>
  <c r="AV10" i="11"/>
  <c r="AV9" i="11"/>
  <c r="AT9" i="11"/>
  <c r="AT10" i="11"/>
  <c r="AT11" i="11"/>
  <c r="AT12" i="11"/>
  <c r="AT13" i="11"/>
  <c r="AT16" i="11"/>
  <c r="AT17" i="11"/>
  <c r="AT18" i="11"/>
  <c r="AT19" i="11"/>
  <c r="AU9" i="11"/>
  <c r="AU10" i="11"/>
  <c r="AU11" i="11"/>
  <c r="AU12" i="11"/>
  <c r="AU13" i="11"/>
  <c r="AU16" i="11"/>
  <c r="AU17" i="11"/>
  <c r="AU18" i="11"/>
  <c r="AU19" i="11"/>
  <c r="W9" i="11"/>
  <c r="W10" i="11"/>
  <c r="W11" i="11"/>
  <c r="W12" i="11"/>
  <c r="W13" i="11"/>
  <c r="W16" i="11"/>
  <c r="Y16" i="11" s="1"/>
  <c r="W17" i="11"/>
  <c r="W18" i="11"/>
  <c r="Y18" i="11" s="1"/>
  <c r="W19" i="11"/>
  <c r="I16" i="2"/>
  <c r="I17" i="2"/>
  <c r="I18" i="2"/>
  <c r="I19" i="2"/>
  <c r="G16" i="2"/>
  <c r="G17" i="2"/>
  <c r="G18" i="2"/>
  <c r="G19" i="2"/>
  <c r="B19" i="6" s="1"/>
  <c r="E16" i="2"/>
  <c r="E17" i="2"/>
  <c r="E18" i="2"/>
  <c r="E19" i="2"/>
  <c r="C17" i="2"/>
  <c r="C18" i="2"/>
  <c r="C19" i="2"/>
  <c r="I9" i="2"/>
  <c r="I10" i="2"/>
  <c r="I11" i="2"/>
  <c r="I12" i="2"/>
  <c r="I13" i="2"/>
  <c r="C10" i="2"/>
  <c r="C11" i="2"/>
  <c r="D11" i="2" s="1"/>
  <c r="C12" i="2"/>
  <c r="C13" i="2"/>
  <c r="G9" i="2"/>
  <c r="G10" i="2"/>
  <c r="G11" i="2"/>
  <c r="G12" i="2"/>
  <c r="G13" i="2"/>
  <c r="E9" i="2"/>
  <c r="E10" i="2"/>
  <c r="E11" i="2"/>
  <c r="E12" i="2"/>
  <c r="E13" i="2"/>
  <c r="AH16" i="11"/>
  <c r="AH17" i="11"/>
  <c r="AH18" i="11"/>
  <c r="AH19" i="11"/>
  <c r="AH9" i="11"/>
  <c r="AH10" i="11"/>
  <c r="AH11" i="11"/>
  <c r="AH12" i="11"/>
  <c r="AH13" i="11"/>
  <c r="E19" i="11"/>
  <c r="E18" i="11"/>
  <c r="E17" i="11"/>
  <c r="E16" i="11"/>
  <c r="E13" i="11"/>
  <c r="E12" i="11"/>
  <c r="E11" i="11"/>
  <c r="E10" i="11"/>
  <c r="E9" i="11"/>
  <c r="W19" i="14"/>
  <c r="W18" i="14"/>
  <c r="W17" i="14"/>
  <c r="W16" i="14"/>
  <c r="W13" i="14"/>
  <c r="W12" i="14"/>
  <c r="W11" i="14"/>
  <c r="W10" i="14"/>
  <c r="W9" i="14"/>
  <c r="M19" i="14"/>
  <c r="M18" i="14"/>
  <c r="M17" i="14"/>
  <c r="M16" i="14"/>
  <c r="M13" i="14"/>
  <c r="M12" i="14"/>
  <c r="M11" i="14"/>
  <c r="M10" i="14"/>
  <c r="M9" i="14"/>
  <c r="N19" i="14"/>
  <c r="N18" i="14"/>
  <c r="N17" i="14"/>
  <c r="N16" i="14"/>
  <c r="N10" i="14"/>
  <c r="N11" i="14"/>
  <c r="N12" i="14"/>
  <c r="N13" i="14"/>
  <c r="N9" i="14"/>
  <c r="P19" i="14"/>
  <c r="P18" i="14"/>
  <c r="P17" i="14"/>
  <c r="P16" i="14"/>
  <c r="P12" i="14"/>
  <c r="P11" i="14"/>
  <c r="P10" i="14"/>
  <c r="P9" i="14"/>
  <c r="O19" i="14"/>
  <c r="O18" i="14"/>
  <c r="O17" i="14"/>
  <c r="O16" i="14"/>
  <c r="O13" i="14"/>
  <c r="O12" i="14"/>
  <c r="O11" i="14"/>
  <c r="O10" i="14"/>
  <c r="O9" i="14"/>
  <c r="AZ9" i="8"/>
  <c r="BB17" i="8"/>
  <c r="BA17" i="8"/>
  <c r="AZ17" i="8"/>
  <c r="AY17" i="8"/>
  <c r="BB16" i="8"/>
  <c r="BA16" i="8"/>
  <c r="BF16" i="8" s="1"/>
  <c r="AZ16" i="8"/>
  <c r="AY16" i="8"/>
  <c r="BG16" i="8" s="1"/>
  <c r="K16" i="7" s="1"/>
  <c r="BB12" i="8"/>
  <c r="BA12" i="8"/>
  <c r="AZ12" i="8"/>
  <c r="AY12" i="8"/>
  <c r="BB11" i="8"/>
  <c r="BA11" i="8"/>
  <c r="AZ11" i="8"/>
  <c r="AY11" i="8"/>
  <c r="BB9" i="8"/>
  <c r="BA9" i="8"/>
  <c r="BE9" i="8" s="1"/>
  <c r="AY9" i="8"/>
  <c r="C5" i="11"/>
  <c r="C5" i="12"/>
  <c r="C7" i="11"/>
  <c r="AS19" i="11"/>
  <c r="AS18" i="11"/>
  <c r="AS17" i="11"/>
  <c r="AS16" i="11"/>
  <c r="AS13" i="11"/>
  <c r="AS12" i="11"/>
  <c r="AS11" i="11"/>
  <c r="AS10" i="11"/>
  <c r="AS9" i="11"/>
  <c r="AS28" i="11"/>
  <c r="AS27" i="11"/>
  <c r="A19" i="14"/>
  <c r="A18" i="14"/>
  <c r="A17" i="14"/>
  <c r="A16" i="14"/>
  <c r="A13" i="14"/>
  <c r="A12" i="14"/>
  <c r="A11" i="14"/>
  <c r="A10" i="14"/>
  <c r="A9" i="14"/>
  <c r="C21" i="12"/>
  <c r="C20" i="12"/>
  <c r="C19" i="12"/>
  <c r="C18" i="12"/>
  <c r="C17" i="12"/>
  <c r="C16" i="12"/>
  <c r="C15" i="12"/>
  <c r="C14" i="12"/>
  <c r="C13" i="12"/>
  <c r="C12" i="12"/>
  <c r="C11" i="12"/>
  <c r="C10" i="12"/>
  <c r="C9" i="12"/>
  <c r="C8" i="12"/>
  <c r="G13" i="14"/>
  <c r="G12" i="14"/>
  <c r="G11" i="14"/>
  <c r="G10" i="14"/>
  <c r="G9" i="14"/>
  <c r="G19" i="14"/>
  <c r="G18" i="14"/>
  <c r="G17" i="14"/>
  <c r="G16" i="14"/>
  <c r="B20" i="14"/>
  <c r="B14" i="14"/>
  <c r="D9" i="14"/>
  <c r="D10" i="14"/>
  <c r="D11" i="14"/>
  <c r="D12" i="14"/>
  <c r="D13" i="14"/>
  <c r="D16" i="14"/>
  <c r="D17" i="14"/>
  <c r="D18" i="14"/>
  <c r="D19" i="14"/>
  <c r="F16" i="14"/>
  <c r="F17" i="14"/>
  <c r="F18" i="14"/>
  <c r="F19" i="14"/>
  <c r="E16" i="14"/>
  <c r="E17" i="14"/>
  <c r="E18" i="14"/>
  <c r="E19" i="14"/>
  <c r="H16" i="14"/>
  <c r="H17" i="14"/>
  <c r="H18" i="14"/>
  <c r="H19" i="14"/>
  <c r="F9" i="14"/>
  <c r="F10" i="14"/>
  <c r="F11" i="14"/>
  <c r="F12" i="14"/>
  <c r="F13" i="14"/>
  <c r="E9" i="14"/>
  <c r="E10" i="14"/>
  <c r="E11" i="14"/>
  <c r="E12" i="14"/>
  <c r="E13" i="14"/>
  <c r="H11" i="14"/>
  <c r="H9" i="14"/>
  <c r="H10" i="14"/>
  <c r="H12" i="14"/>
  <c r="H13" i="14"/>
  <c r="B19" i="14"/>
  <c r="B18" i="14"/>
  <c r="B17" i="14"/>
  <c r="B16" i="14"/>
  <c r="A15" i="14"/>
  <c r="B13" i="14"/>
  <c r="B12" i="14"/>
  <c r="B11" i="14"/>
  <c r="B10" i="14"/>
  <c r="B9" i="14"/>
  <c r="Q17" i="14"/>
  <c r="Q18" i="14"/>
  <c r="Q19"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0" i="13"/>
  <c r="J20" i="13"/>
  <c r="K20" i="13"/>
  <c r="L20" i="13"/>
  <c r="M20" i="13"/>
  <c r="N20" i="13"/>
  <c r="P20" i="13"/>
  <c r="Q20" i="13"/>
  <c r="R20" i="13"/>
  <c r="S20" i="13"/>
  <c r="T20" i="13"/>
  <c r="U20" i="13"/>
  <c r="V20" i="13"/>
  <c r="W20" i="13"/>
  <c r="X20" i="13"/>
  <c r="Y20" i="13"/>
  <c r="Z20" i="13"/>
  <c r="AA20" i="13"/>
  <c r="AB20" i="13"/>
  <c r="AC20" i="13"/>
  <c r="AD20" i="13"/>
  <c r="AE20" i="13"/>
  <c r="AF20" i="13"/>
  <c r="AG20" i="13"/>
  <c r="AH20" i="13"/>
  <c r="AI20" i="13"/>
  <c r="AJ20" i="13"/>
  <c r="AK20" i="13"/>
  <c r="AL20" i="13"/>
  <c r="AM20" i="13"/>
  <c r="AN20" i="13"/>
  <c r="AO20" i="13"/>
  <c r="AP20" i="13"/>
  <c r="AQ20" i="13"/>
  <c r="AR20" i="13"/>
  <c r="BH20" i="13"/>
  <c r="BI20" i="13"/>
  <c r="BK20" i="13"/>
  <c r="BM20" i="13"/>
  <c r="B2" i="8"/>
  <c r="A3" i="8"/>
  <c r="B3" i="8"/>
  <c r="A4" i="8"/>
  <c r="B4" i="8"/>
  <c r="A5" i="8"/>
  <c r="BC9" i="8"/>
  <c r="BF9" i="8" s="1"/>
  <c r="AY10" i="8"/>
  <c r="AZ10" i="8"/>
  <c r="BA10" i="8"/>
  <c r="BB10" i="8"/>
  <c r="BC10" i="8"/>
  <c r="BC11" i="8"/>
  <c r="BC12" i="8"/>
  <c r="AY13" i="8"/>
  <c r="AZ13" i="8"/>
  <c r="BA13" i="8"/>
  <c r="BB13" i="8"/>
  <c r="BC13" i="8"/>
  <c r="BF13" i="8" s="1"/>
  <c r="BC16" i="8"/>
  <c r="BC17" i="8"/>
  <c r="BF17" i="8" s="1"/>
  <c r="AY18" i="8"/>
  <c r="AZ18" i="8"/>
  <c r="BA18" i="8"/>
  <c r="BB18" i="8"/>
  <c r="BC18" i="8"/>
  <c r="BF18" i="8" s="1"/>
  <c r="AY19" i="8"/>
  <c r="AZ19" i="8"/>
  <c r="BA19" i="8"/>
  <c r="BE19" i="8" s="1"/>
  <c r="BB19" i="8"/>
  <c r="BC19" i="8"/>
  <c r="AB21" i="8"/>
  <c r="B7" i="14"/>
  <c r="A8" i="14"/>
  <c r="I9" i="14"/>
  <c r="J9" i="14"/>
  <c r="J10" i="14"/>
  <c r="J11" i="14"/>
  <c r="J12" i="14"/>
  <c r="J13" i="14"/>
  <c r="I10" i="14"/>
  <c r="I11" i="14"/>
  <c r="I12" i="14"/>
  <c r="I16" i="14"/>
  <c r="J16" i="14"/>
  <c r="I17" i="14"/>
  <c r="J17" i="14"/>
  <c r="I18" i="14"/>
  <c r="I19" i="14"/>
  <c r="J19" i="14"/>
  <c r="B21" i="14"/>
  <c r="B2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7" i="12"/>
  <c r="E27" i="12"/>
  <c r="F27" i="12"/>
  <c r="G27" i="12"/>
  <c r="H27" i="12"/>
  <c r="I27" i="12"/>
  <c r="J27" i="12"/>
  <c r="K27" i="12"/>
  <c r="D28" i="12"/>
  <c r="E28" i="12"/>
  <c r="F28" i="12"/>
  <c r="G28" i="12"/>
  <c r="H28" i="12"/>
  <c r="I28" i="12"/>
  <c r="J28" i="12"/>
  <c r="K28" i="12"/>
  <c r="C3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C20" i="11"/>
  <c r="C21" i="11"/>
  <c r="F27" i="11"/>
  <c r="G27" i="11"/>
  <c r="W27" i="11"/>
  <c r="AG27" i="11"/>
  <c r="AI27" i="11"/>
  <c r="AE27" i="11"/>
  <c r="AJ27" i="11"/>
  <c r="AK27" i="11"/>
  <c r="AL27" i="11"/>
  <c r="AM27" i="11"/>
  <c r="AN27" i="11"/>
  <c r="AO27" i="11"/>
  <c r="AP27" i="11"/>
  <c r="AQ27" i="11"/>
  <c r="F28" i="11"/>
  <c r="G28" i="11"/>
  <c r="W28" i="11"/>
  <c r="AG28" i="11"/>
  <c r="AI28" i="11"/>
  <c r="AE28" i="11"/>
  <c r="AJ28" i="11"/>
  <c r="AK28" i="11"/>
  <c r="AL28" i="11"/>
  <c r="AM28" i="11"/>
  <c r="AN28" i="11"/>
  <c r="AO28" i="11"/>
  <c r="AP28" i="11"/>
  <c r="AQ28" i="11"/>
  <c r="C3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A21" i="7"/>
  <c r="A25" i="7"/>
  <c r="B2" i="6"/>
  <c r="B3" i="6"/>
  <c r="B4" i="6"/>
  <c r="A7" i="6"/>
  <c r="A8" i="6"/>
  <c r="A9" i="6"/>
  <c r="A10" i="6"/>
  <c r="A11" i="6"/>
  <c r="A12" i="6"/>
  <c r="A13" i="6"/>
  <c r="A14" i="6"/>
  <c r="A15" i="6"/>
  <c r="A16" i="6"/>
  <c r="A17" i="6"/>
  <c r="A18" i="6"/>
  <c r="A19" i="6"/>
  <c r="A20" i="6"/>
  <c r="A21" i="6"/>
  <c r="A2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C16" i="5"/>
  <c r="D16" i="5"/>
  <c r="A17" i="5"/>
  <c r="C17" i="5"/>
  <c r="C18" i="5"/>
  <c r="C19" i="5"/>
  <c r="D17" i="5"/>
  <c r="A18" i="5"/>
  <c r="D18" i="5"/>
  <c r="A19" i="5"/>
  <c r="D19" i="5"/>
  <c r="A20" i="5"/>
  <c r="A21" i="5"/>
  <c r="A24" i="5"/>
  <c r="B2" i="3"/>
  <c r="B3" i="3"/>
  <c r="B4" i="3"/>
  <c r="A5" i="3"/>
  <c r="A7" i="3"/>
  <c r="A8" i="3"/>
  <c r="A9" i="3"/>
  <c r="B9" i="3"/>
  <c r="C9" i="3"/>
  <c r="D9" i="3"/>
  <c r="D9" i="6" s="1"/>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I17" i="3" s="1"/>
  <c r="A18" i="3"/>
  <c r="C18" i="3"/>
  <c r="D18" i="3"/>
  <c r="F18" i="3"/>
  <c r="H18" i="3"/>
  <c r="A19" i="3"/>
  <c r="C19" i="3"/>
  <c r="D19" i="3"/>
  <c r="F19" i="3"/>
  <c r="H19" i="3"/>
  <c r="I19" i="3" s="1"/>
  <c r="A21" i="3"/>
  <c r="A2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5" i="10"/>
  <c r="B2" i="2"/>
  <c r="B3" i="2"/>
  <c r="B4" i="2"/>
  <c r="A8" i="2"/>
  <c r="A9" i="2"/>
  <c r="B9" i="2"/>
  <c r="A10" i="2"/>
  <c r="B10" i="2"/>
  <c r="A11" i="2"/>
  <c r="B11" i="2"/>
  <c r="A12" i="2"/>
  <c r="B12" i="2"/>
  <c r="A13" i="2"/>
  <c r="B13" i="2"/>
  <c r="A14" i="2"/>
  <c r="A15" i="2"/>
  <c r="A16" i="2"/>
  <c r="B16" i="2"/>
  <c r="A17" i="2"/>
  <c r="B17" i="2"/>
  <c r="A18" i="2"/>
  <c r="B18" i="2"/>
  <c r="A19" i="2"/>
  <c r="B19" i="2"/>
  <c r="A20" i="2"/>
  <c r="A21" i="2"/>
  <c r="A22" i="2"/>
  <c r="A23" i="2"/>
  <c r="A25" i="2"/>
  <c r="O27" i="11"/>
  <c r="O28" i="11"/>
  <c r="S14" i="12"/>
  <c r="P13" i="14"/>
  <c r="B20" i="7"/>
  <c r="AN20" i="17"/>
  <c r="I13" i="14"/>
  <c r="AZ14" i="19"/>
  <c r="BB14" i="19"/>
  <c r="BA20" i="19"/>
  <c r="AY14" i="19"/>
  <c r="BC14" i="19"/>
  <c r="AY20" i="19"/>
  <c r="BC20" i="19"/>
  <c r="BA14" i="19"/>
  <c r="BB20" i="19"/>
  <c r="AS20" i="21"/>
  <c r="R20" i="21"/>
  <c r="AI20" i="21"/>
  <c r="AH20" i="21"/>
  <c r="J20" i="21"/>
  <c r="AG20" i="21"/>
  <c r="N20" i="21"/>
  <c r="AN20" i="21"/>
  <c r="L20" i="21"/>
  <c r="Q20" i="21"/>
  <c r="AY20" i="21"/>
  <c r="AE20" i="21"/>
  <c r="AJ20" i="21"/>
  <c r="AK20" i="21"/>
  <c r="H20" i="21"/>
  <c r="Z20" i="21"/>
  <c r="AM20" i="21"/>
  <c r="M20" i="21"/>
  <c r="AD20" i="21"/>
  <c r="AF20" i="21"/>
  <c r="K20" i="21"/>
  <c r="E20" i="21"/>
  <c r="AO20" i="21"/>
  <c r="AR20" i="21"/>
  <c r="G20" i="21"/>
  <c r="AB20" i="21"/>
  <c r="P20" i="21"/>
  <c r="AL20" i="21"/>
  <c r="F20" i="21"/>
  <c r="AC20" i="21"/>
  <c r="J14" i="20"/>
  <c r="E14" i="20"/>
  <c r="Q14" i="20"/>
  <c r="G14" i="20"/>
  <c r="K14" i="20"/>
  <c r="AT14" i="20"/>
  <c r="AA14" i="20"/>
  <c r="R14" i="20"/>
  <c r="F14" i="20"/>
  <c r="CO21" i="8"/>
  <c r="V20" i="21"/>
  <c r="T20" i="21"/>
  <c r="BD17" i="13"/>
  <c r="AW20" i="21"/>
  <c r="R14" i="12"/>
  <c r="R13" i="17"/>
  <c r="BD11" i="13"/>
  <c r="AN21" i="13"/>
  <c r="ER21" i="8"/>
  <c r="N19" i="11"/>
  <c r="AE14" i="21"/>
  <c r="AL16" i="11"/>
  <c r="EL21" i="8"/>
  <c r="EQ21" i="8"/>
  <c r="EN21" i="8"/>
  <c r="K20" i="11"/>
  <c r="BA14" i="16"/>
  <c r="N10" i="11"/>
  <c r="N9" i="11"/>
  <c r="D17" i="2"/>
  <c r="ES21" i="8"/>
  <c r="G20" i="12"/>
  <c r="AQ19" i="11"/>
  <c r="AK21" i="8"/>
  <c r="EP21" i="8"/>
  <c r="ER21" i="13"/>
  <c r="AL14" i="16"/>
  <c r="EP21" i="19"/>
  <c r="BH19" i="11"/>
  <c r="AZ19" i="11"/>
  <c r="S14" i="16"/>
  <c r="V12" i="21"/>
  <c r="P14" i="16"/>
  <c r="Z14" i="17"/>
  <c r="F18" i="17"/>
  <c r="AQ18" i="17" s="1"/>
  <c r="V18" i="16"/>
  <c r="K20" i="2"/>
  <c r="M14" i="2"/>
  <c r="N14" i="2"/>
  <c r="F14" i="7"/>
  <c r="T14" i="12"/>
  <c r="BK16" i="11"/>
  <c r="V13" i="11"/>
  <c r="BM13" i="11"/>
  <c r="BL11" i="11"/>
  <c r="BM16" i="11"/>
  <c r="BU16" i="17"/>
  <c r="BW9" i="20"/>
  <c r="BW13" i="20"/>
  <c r="BW17" i="20"/>
  <c r="U13" i="17"/>
  <c r="U10" i="17"/>
  <c r="BU18" i="17"/>
  <c r="BU17" i="17"/>
  <c r="T14" i="16"/>
  <c r="S11" i="14"/>
  <c r="V11" i="14" s="1"/>
  <c r="BG12" i="11"/>
  <c r="BH10" i="11"/>
  <c r="AQ10" i="21"/>
  <c r="BH10" i="16"/>
  <c r="BM18" i="11"/>
  <c r="BH17" i="11"/>
  <c r="BJ17" i="11"/>
  <c r="AY20" i="8"/>
  <c r="AY14" i="8"/>
  <c r="BD9" i="8"/>
  <c r="AH14" i="16"/>
  <c r="L17" i="2"/>
  <c r="X10" i="21"/>
  <c r="V10" i="16"/>
  <c r="T14" i="20"/>
  <c r="X13" i="16"/>
  <c r="T20" i="17"/>
  <c r="BF16" i="13"/>
  <c r="BG16" i="13"/>
  <c r="BB20" i="13"/>
  <c r="BE17" i="13"/>
  <c r="BE16" i="13"/>
  <c r="BF17" i="13"/>
  <c r="U10" i="11"/>
  <c r="W22" i="21"/>
  <c r="AF22" i="20"/>
  <c r="U18" i="11"/>
  <c r="AL22" i="20"/>
  <c r="AE22" i="20"/>
  <c r="AG22" i="20"/>
  <c r="L22" i="20"/>
  <c r="M22" i="20"/>
  <c r="N22" i="20"/>
  <c r="K22" i="20"/>
  <c r="Y22" i="20"/>
  <c r="AC22" i="20"/>
  <c r="AA22" i="20"/>
  <c r="U12" i="11"/>
  <c r="AQ22" i="21"/>
  <c r="U17" i="11"/>
  <c r="AQ22" i="20"/>
  <c r="G14" i="14"/>
  <c r="W22" i="20"/>
  <c r="E14" i="17" l="1"/>
  <c r="H12" i="2"/>
  <c r="R21" i="8"/>
  <c r="BA14" i="8"/>
  <c r="BG10" i="8"/>
  <c r="K10" i="7" s="1"/>
  <c r="F13" i="2"/>
  <c r="M20" i="2"/>
  <c r="N20" i="2"/>
  <c r="X16" i="16"/>
  <c r="X20" i="16" s="1"/>
  <c r="L13" i="2"/>
  <c r="S17" i="17"/>
  <c r="BL17" i="11"/>
  <c r="AQ12" i="21"/>
  <c r="BF16" i="11"/>
  <c r="Q16" i="17"/>
  <c r="S10" i="17"/>
  <c r="BI9" i="11"/>
  <c r="Q18" i="17"/>
  <c r="T17" i="11"/>
  <c r="AA16" i="16"/>
  <c r="BV9" i="16"/>
  <c r="V12" i="16"/>
  <c r="BV10" i="16"/>
  <c r="BW11" i="20"/>
  <c r="BV16" i="16"/>
  <c r="BV17" i="16"/>
  <c r="BV13" i="16"/>
  <c r="BV19" i="16"/>
  <c r="T16" i="16"/>
  <c r="BL13" i="11"/>
  <c r="AP16" i="20"/>
  <c r="BI16" i="11"/>
  <c r="AP10" i="21"/>
  <c r="BF10" i="11"/>
  <c r="F11" i="16"/>
  <c r="BL11" i="16" s="1"/>
  <c r="T18" i="16"/>
  <c r="BG19" i="11"/>
  <c r="AQ14" i="21"/>
  <c r="BG16" i="11"/>
  <c r="BJ12" i="11"/>
  <c r="BI19" i="11"/>
  <c r="S9" i="14"/>
  <c r="V9" i="14" s="1"/>
  <c r="BM12" i="11"/>
  <c r="S9" i="17"/>
  <c r="BK9" i="11"/>
  <c r="X12" i="21"/>
  <c r="AP17" i="20"/>
  <c r="BH9" i="16"/>
  <c r="BK13" i="11"/>
  <c r="BG10" i="11"/>
  <c r="BH16" i="16"/>
  <c r="T9" i="11"/>
  <c r="BF11" i="11"/>
  <c r="BH11" i="16"/>
  <c r="V16" i="11"/>
  <c r="BF13" i="11"/>
  <c r="BJ18" i="11"/>
  <c r="BH16" i="11"/>
  <c r="BF19" i="11"/>
  <c r="BH19" i="16"/>
  <c r="BJ19" i="11"/>
  <c r="P18" i="17"/>
  <c r="BL18" i="11"/>
  <c r="BK12" i="11"/>
  <c r="BF17" i="11"/>
  <c r="AO16" i="17"/>
  <c r="S18" i="16"/>
  <c r="BL12" i="11"/>
  <c r="BK11" i="11"/>
  <c r="V11" i="11"/>
  <c r="BI10" i="11"/>
  <c r="Q10" i="21"/>
  <c r="BH9" i="11"/>
  <c r="V9" i="11"/>
  <c r="BJ11" i="11"/>
  <c r="BJ16" i="11"/>
  <c r="R10" i="21"/>
  <c r="R14" i="21" s="1"/>
  <c r="BI18" i="11"/>
  <c r="BG9" i="11"/>
  <c r="AZ13" i="11"/>
  <c r="BH13" i="11"/>
  <c r="R18" i="20"/>
  <c r="R20" i="20" s="1"/>
  <c r="BH18" i="11"/>
  <c r="BK18" i="11"/>
  <c r="AZ9" i="11"/>
  <c r="AZ21" i="11" s="1"/>
  <c r="AP18" i="20"/>
  <c r="AZ16" i="11"/>
  <c r="AZ20" i="11" s="1"/>
  <c r="BU11" i="17"/>
  <c r="BW19" i="20"/>
  <c r="BV18" i="16"/>
  <c r="BW18" i="20"/>
  <c r="BU10" i="17"/>
  <c r="BV12" i="16"/>
  <c r="BW12" i="20"/>
  <c r="BV11" i="16"/>
  <c r="BW16" i="20"/>
  <c r="BU9" i="17"/>
  <c r="BU19" i="17"/>
  <c r="BW10" i="20"/>
  <c r="BU13" i="17"/>
  <c r="S11" i="17"/>
  <c r="BU12" i="17"/>
  <c r="AA17" i="16"/>
  <c r="AZ17" i="11"/>
  <c r="AZ12" i="11"/>
  <c r="AZ11" i="11"/>
  <c r="X18" i="17"/>
  <c r="S16" i="16"/>
  <c r="P16" i="17"/>
  <c r="P20" i="17" s="1"/>
  <c r="P21" i="17" s="1"/>
  <c r="BF12" i="11"/>
  <c r="BL16" i="11"/>
  <c r="BL10" i="11"/>
  <c r="BJ10" i="11"/>
  <c r="BK17" i="11"/>
  <c r="BH11" i="11"/>
  <c r="BG17" i="11"/>
  <c r="S18" i="17"/>
  <c r="BM9" i="11"/>
  <c r="BH12" i="16"/>
  <c r="BK10" i="11"/>
  <c r="S16" i="17"/>
  <c r="L12" i="2"/>
  <c r="X19" i="16"/>
  <c r="L18" i="2"/>
  <c r="L19" i="2"/>
  <c r="U9" i="17"/>
  <c r="U21" i="17" s="1"/>
  <c r="L9" i="2"/>
  <c r="V9" i="16"/>
  <c r="BL19" i="11"/>
  <c r="BL9" i="11"/>
  <c r="BH18" i="16"/>
  <c r="BM17" i="11"/>
  <c r="Q18" i="20"/>
  <c r="Q20" i="20" s="1"/>
  <c r="V11" i="16"/>
  <c r="BF18" i="11"/>
  <c r="S13" i="17"/>
  <c r="R13" i="14"/>
  <c r="S10" i="14"/>
  <c r="V10" i="14" s="1"/>
  <c r="S13" i="14"/>
  <c r="V13" i="14" s="1"/>
  <c r="S18" i="14"/>
  <c r="V18" i="14" s="1"/>
  <c r="R10" i="14"/>
  <c r="R12" i="14"/>
  <c r="R17" i="14"/>
  <c r="R19" i="14"/>
  <c r="AM9" i="11"/>
  <c r="T13" i="11"/>
  <c r="V13" i="16"/>
  <c r="X17" i="17"/>
  <c r="X12" i="17"/>
  <c r="X16" i="17"/>
  <c r="AA9" i="16"/>
  <c r="AA11" i="16"/>
  <c r="T18" i="20"/>
  <c r="X18" i="20"/>
  <c r="X19" i="20"/>
  <c r="U10" i="21"/>
  <c r="AA12" i="21"/>
  <c r="V19" i="16"/>
  <c r="AZ18" i="11"/>
  <c r="L11" i="2"/>
  <c r="X9" i="16"/>
  <c r="X21" i="16" s="1"/>
  <c r="V16" i="20"/>
  <c r="V20" i="20" s="1"/>
  <c r="X12" i="16"/>
  <c r="S12" i="14"/>
  <c r="V12" i="14" s="1"/>
  <c r="S19" i="14"/>
  <c r="V19" i="14" s="1"/>
  <c r="S17" i="14"/>
  <c r="V17" i="14" s="1"/>
  <c r="R11" i="14"/>
  <c r="R18" i="14"/>
  <c r="AO17" i="17"/>
  <c r="T12" i="11"/>
  <c r="T19" i="11"/>
  <c r="T11" i="11"/>
  <c r="S16" i="14"/>
  <c r="V16" i="14" s="1"/>
  <c r="T16" i="11"/>
  <c r="T18" i="11"/>
  <c r="AA10" i="16"/>
  <c r="X13" i="17"/>
  <c r="X10" i="17"/>
  <c r="AA18" i="16"/>
  <c r="X9" i="17"/>
  <c r="X11" i="17"/>
  <c r="X17" i="20"/>
  <c r="V16" i="16"/>
  <c r="L10" i="2"/>
  <c r="L16" i="2"/>
  <c r="T19" i="20"/>
  <c r="AO14" i="21"/>
  <c r="BB14" i="13"/>
  <c r="BD18" i="13"/>
  <c r="BE11" i="13"/>
  <c r="BI18" i="16"/>
  <c r="D10" i="6"/>
  <c r="I21" i="8"/>
  <c r="BF12" i="8"/>
  <c r="BG9" i="8"/>
  <c r="BG12" i="8"/>
  <c r="BD16" i="8"/>
  <c r="H16" i="7" s="1"/>
  <c r="F18" i="16"/>
  <c r="BL18" i="16" s="1"/>
  <c r="J20" i="17"/>
  <c r="AL18" i="11"/>
  <c r="BE12" i="21"/>
  <c r="BE14" i="21" s="1"/>
  <c r="BE21" i="21" s="1"/>
  <c r="N13" i="11"/>
  <c r="C14" i="5"/>
  <c r="B18" i="6"/>
  <c r="AN18" i="11"/>
  <c r="E12" i="6"/>
  <c r="AM19" i="11"/>
  <c r="L17" i="14"/>
  <c r="AU20" i="21"/>
  <c r="AO14" i="20"/>
  <c r="AP14" i="20"/>
  <c r="AD21" i="19"/>
  <c r="AT20" i="20"/>
  <c r="AF14" i="21"/>
  <c r="BA20" i="13"/>
  <c r="Y21" i="13"/>
  <c r="BF9" i="13"/>
  <c r="BE12" i="13"/>
  <c r="S21" i="8"/>
  <c r="AC21" i="8"/>
  <c r="T21" i="8"/>
  <c r="BK21" i="8"/>
  <c r="BD12" i="8"/>
  <c r="H12" i="7" s="1"/>
  <c r="C20" i="7"/>
  <c r="AS14" i="8"/>
  <c r="H13" i="10"/>
  <c r="J10" i="2"/>
  <c r="J16" i="7"/>
  <c r="I12" i="3"/>
  <c r="E12" i="3"/>
  <c r="B9" i="6"/>
  <c r="AO12" i="17"/>
  <c r="H10" i="2"/>
  <c r="E17" i="6"/>
  <c r="AO18" i="11"/>
  <c r="AO16" i="11"/>
  <c r="AO18" i="17"/>
  <c r="AM16" i="11"/>
  <c r="BM21" i="8"/>
  <c r="C13" i="14"/>
  <c r="K13" i="14" s="1"/>
  <c r="C10" i="14"/>
  <c r="K10" i="14" s="1"/>
  <c r="J13" i="2"/>
  <c r="H9" i="7"/>
  <c r="E11" i="6"/>
  <c r="C12" i="6"/>
  <c r="C18" i="6"/>
  <c r="AN10" i="11"/>
  <c r="H18" i="2"/>
  <c r="T10" i="21"/>
  <c r="V10" i="21" s="1"/>
  <c r="BE20" i="19"/>
  <c r="CN21" i="19"/>
  <c r="X14" i="20"/>
  <c r="AM21" i="13"/>
  <c r="U21" i="13"/>
  <c r="BD13" i="13"/>
  <c r="BE18" i="13"/>
  <c r="AA21" i="8"/>
  <c r="W21" i="8"/>
  <c r="BF19" i="8"/>
  <c r="D13" i="2"/>
  <c r="AO13" i="11"/>
  <c r="D19" i="2"/>
  <c r="E19" i="6"/>
  <c r="AM21" i="8"/>
  <c r="AR20" i="11"/>
  <c r="AV20" i="21"/>
  <c r="BM20" i="16"/>
  <c r="E16" i="3"/>
  <c r="G13" i="3"/>
  <c r="J18" i="7"/>
  <c r="AJ21" i="8"/>
  <c r="L18" i="14"/>
  <c r="AL9" i="11"/>
  <c r="AL21" i="16"/>
  <c r="L21" i="8"/>
  <c r="Y21" i="8"/>
  <c r="F16" i="16"/>
  <c r="BL16" i="16" s="1"/>
  <c r="AS21" i="8"/>
  <c r="G18" i="3"/>
  <c r="I11" i="3"/>
  <c r="BE10" i="8"/>
  <c r="I10" i="7" s="1"/>
  <c r="F12" i="2"/>
  <c r="E10" i="6"/>
  <c r="L10" i="14"/>
  <c r="AO19" i="11"/>
  <c r="E20" i="2"/>
  <c r="G20" i="2"/>
  <c r="AM17" i="11"/>
  <c r="Y11" i="11"/>
  <c r="F9" i="11"/>
  <c r="AP12" i="11"/>
  <c r="AP10" i="11"/>
  <c r="AX23" i="11"/>
  <c r="Y12" i="11"/>
  <c r="BN20" i="16"/>
  <c r="C12" i="14"/>
  <c r="K12" i="14" s="1"/>
  <c r="F9" i="12"/>
  <c r="F11" i="11"/>
  <c r="AQ11" i="11" s="1"/>
  <c r="AZ14" i="11"/>
  <c r="Y10" i="11"/>
  <c r="AA14" i="11"/>
  <c r="I16" i="3"/>
  <c r="J17" i="10"/>
  <c r="L17" i="10" s="1"/>
  <c r="J10" i="10"/>
  <c r="L10" i="10" s="1"/>
  <c r="J9" i="10"/>
  <c r="L9" i="10" s="1"/>
  <c r="J9" i="2"/>
  <c r="F9" i="2"/>
  <c r="AL10" i="11"/>
  <c r="E14" i="2"/>
  <c r="F14" i="2" s="1"/>
  <c r="E13" i="6"/>
  <c r="C13" i="6"/>
  <c r="AM13" i="11"/>
  <c r="B11" i="6"/>
  <c r="L11" i="14"/>
  <c r="AL11" i="11"/>
  <c r="AO11" i="11"/>
  <c r="AO9" i="17"/>
  <c r="AO9" i="11"/>
  <c r="G14" i="2"/>
  <c r="L12" i="14"/>
  <c r="AM12" i="11"/>
  <c r="E9" i="6"/>
  <c r="I9" i="7"/>
  <c r="J9" i="7"/>
  <c r="K9" i="7"/>
  <c r="K12" i="7"/>
  <c r="AO10" i="17"/>
  <c r="I20" i="2"/>
  <c r="B12" i="6"/>
  <c r="AL12" i="11"/>
  <c r="I14" i="2"/>
  <c r="J14" i="2" s="1"/>
  <c r="C11" i="6"/>
  <c r="AM11" i="11"/>
  <c r="AO13" i="17"/>
  <c r="F10" i="2"/>
  <c r="AL13" i="11"/>
  <c r="B10" i="6"/>
  <c r="L13" i="14"/>
  <c r="D12" i="2"/>
  <c r="AO12" i="11"/>
  <c r="D10" i="2"/>
  <c r="AO10" i="11"/>
  <c r="C20" i="2"/>
  <c r="D20" i="2" s="1"/>
  <c r="D18" i="2"/>
  <c r="AL19" i="11"/>
  <c r="B17" i="6"/>
  <c r="C19" i="6"/>
  <c r="I19" i="12" s="1"/>
  <c r="C17" i="6"/>
  <c r="H19" i="2"/>
  <c r="D19" i="6"/>
  <c r="J19" i="12" s="1"/>
  <c r="AN17" i="11"/>
  <c r="L21" i="21"/>
  <c r="AE21" i="21"/>
  <c r="CJ21" i="19"/>
  <c r="BF20" i="19"/>
  <c r="I21" i="19"/>
  <c r="M21" i="19"/>
  <c r="U21" i="19"/>
  <c r="Y21" i="19"/>
  <c r="AC21" i="19"/>
  <c r="AG21" i="19"/>
  <c r="AK21" i="19"/>
  <c r="AO21" i="19"/>
  <c r="AQ21" i="19"/>
  <c r="AS21" i="19"/>
  <c r="AR14" i="20"/>
  <c r="AO20" i="20"/>
  <c r="V21" i="19"/>
  <c r="H20" i="16"/>
  <c r="BA14" i="13"/>
  <c r="BE14" i="13" s="1"/>
  <c r="BG10" i="13"/>
  <c r="BE9" i="13"/>
  <c r="AZ14" i="13"/>
  <c r="AG21" i="8"/>
  <c r="U21" i="8"/>
  <c r="Q21" i="8"/>
  <c r="BG19" i="8"/>
  <c r="K19" i="7" s="1"/>
  <c r="BG18" i="8"/>
  <c r="K18" i="7" s="1"/>
  <c r="BD18" i="8"/>
  <c r="H18" i="7" s="1"/>
  <c r="AP19" i="11"/>
  <c r="S20" i="16"/>
  <c r="D12" i="6"/>
  <c r="AN12" i="11"/>
  <c r="AI21" i="8"/>
  <c r="F19" i="2"/>
  <c r="E10" i="3"/>
  <c r="G19" i="3"/>
  <c r="G17" i="3"/>
  <c r="AN16" i="11"/>
  <c r="G12" i="3"/>
  <c r="G10" i="3"/>
  <c r="BE13" i="8"/>
  <c r="I13" i="7" s="1"/>
  <c r="BF11" i="8"/>
  <c r="J11" i="7" s="1"/>
  <c r="BD11" i="8"/>
  <c r="H11" i="7" s="1"/>
  <c r="BE11" i="8"/>
  <c r="I11" i="7" s="1"/>
  <c r="BE12" i="8"/>
  <c r="BE16" i="8"/>
  <c r="I16" i="7" s="1"/>
  <c r="BG17" i="8"/>
  <c r="C9" i="6"/>
  <c r="F18" i="11"/>
  <c r="AQ18" i="11" s="1"/>
  <c r="R20" i="11"/>
  <c r="AC12" i="11"/>
  <c r="AQ10" i="11"/>
  <c r="J14" i="11"/>
  <c r="F17" i="17"/>
  <c r="AE14" i="17"/>
  <c r="AV20" i="17"/>
  <c r="F16" i="17"/>
  <c r="AQ16" i="17" s="1"/>
  <c r="G9" i="12"/>
  <c r="E9" i="12"/>
  <c r="F16" i="11"/>
  <c r="AQ16" i="11" s="1"/>
  <c r="F17" i="11"/>
  <c r="AP11" i="11"/>
  <c r="Y9" i="11"/>
  <c r="AC13" i="11"/>
  <c r="AC18" i="11"/>
  <c r="N12" i="11"/>
  <c r="L20" i="11"/>
  <c r="AC10" i="11"/>
  <c r="AC19" i="11"/>
  <c r="H13" i="2"/>
  <c r="J12" i="2"/>
  <c r="H9" i="2"/>
  <c r="AN11" i="11"/>
  <c r="I19" i="7"/>
  <c r="AF21" i="21"/>
  <c r="G14" i="21"/>
  <c r="H14" i="21"/>
  <c r="H23" i="21" s="1"/>
  <c r="AB14" i="21"/>
  <c r="AB23" i="21" s="1"/>
  <c r="CK21" i="19"/>
  <c r="R21" i="19"/>
  <c r="AS14" i="21"/>
  <c r="BD20" i="19"/>
  <c r="AP20" i="20"/>
  <c r="N21" i="19"/>
  <c r="P21" i="19"/>
  <c r="T21" i="19"/>
  <c r="Z21" i="19"/>
  <c r="AJ21" i="19"/>
  <c r="AT21" i="19"/>
  <c r="AC21" i="17"/>
  <c r="AT20" i="17"/>
  <c r="BN21" i="16"/>
  <c r="X21" i="13"/>
  <c r="BH21" i="13"/>
  <c r="S21" i="13"/>
  <c r="BG19" i="13"/>
  <c r="AZ20" i="13"/>
  <c r="BC14" i="13"/>
  <c r="BG9" i="13"/>
  <c r="BK21" i="13"/>
  <c r="AQ21" i="13"/>
  <c r="AO21" i="13"/>
  <c r="AE21" i="13"/>
  <c r="AC21" i="13"/>
  <c r="AA21" i="13"/>
  <c r="W21" i="13"/>
  <c r="Q21" i="13"/>
  <c r="AB21" i="13"/>
  <c r="Z21" i="13"/>
  <c r="V21" i="13"/>
  <c r="BG13" i="13"/>
  <c r="AY14" i="13"/>
  <c r="BC20" i="13"/>
  <c r="BF20" i="13" s="1"/>
  <c r="BE19" i="13"/>
  <c r="BE10" i="13"/>
  <c r="AH21" i="8"/>
  <c r="BI17" i="16"/>
  <c r="D9" i="12"/>
  <c r="CI21" i="8"/>
  <c r="Z21" i="8"/>
  <c r="X21" i="8"/>
  <c r="O21" i="8"/>
  <c r="J9" i="12"/>
  <c r="AP14" i="17"/>
  <c r="BJ14" i="16"/>
  <c r="AL21" i="8"/>
  <c r="C14" i="3"/>
  <c r="C21" i="3"/>
  <c r="J19" i="2"/>
  <c r="F18" i="2"/>
  <c r="E18" i="3"/>
  <c r="H20" i="3"/>
  <c r="I20" i="3" s="1"/>
  <c r="I13" i="3"/>
  <c r="E13" i="3"/>
  <c r="C10" i="6"/>
  <c r="E18" i="6"/>
  <c r="H20" i="12"/>
  <c r="F12" i="11"/>
  <c r="AQ12" i="11" s="1"/>
  <c r="N11" i="11"/>
  <c r="W14" i="17"/>
  <c r="X14" i="17" s="1"/>
  <c r="F12" i="21"/>
  <c r="C16" i="14"/>
  <c r="K16" i="14" s="1"/>
  <c r="D11" i="12"/>
  <c r="E12" i="12"/>
  <c r="Q9" i="11"/>
  <c r="E11" i="12"/>
  <c r="BK14" i="11"/>
  <c r="AC11" i="11"/>
  <c r="AC16" i="11"/>
  <c r="AP16" i="11"/>
  <c r="AV14" i="11"/>
  <c r="AB20" i="11"/>
  <c r="I20" i="11"/>
  <c r="D18" i="6"/>
  <c r="J18" i="12" s="1"/>
  <c r="AN13" i="11"/>
  <c r="B13" i="6"/>
  <c r="J13" i="7"/>
  <c r="H11" i="2"/>
  <c r="AN9" i="11"/>
  <c r="L9" i="14"/>
  <c r="AL17" i="11"/>
  <c r="AO17" i="11"/>
  <c r="D16" i="6"/>
  <c r="BI16" i="16"/>
  <c r="B16" i="6"/>
  <c r="E16" i="6"/>
  <c r="L16" i="14"/>
  <c r="C16" i="6"/>
  <c r="J16" i="2"/>
  <c r="R21" i="21"/>
  <c r="BE14" i="19"/>
  <c r="Q21" i="19"/>
  <c r="AF21" i="19"/>
  <c r="AN21" i="19"/>
  <c r="AM21" i="19"/>
  <c r="BI21" i="19"/>
  <c r="BB21" i="19"/>
  <c r="BC21" i="19"/>
  <c r="AL21" i="19"/>
  <c r="AR21" i="19"/>
  <c r="EL21" i="19"/>
  <c r="S21" i="19"/>
  <c r="AA21" i="19"/>
  <c r="AI21" i="19"/>
  <c r="BK21" i="19"/>
  <c r="CL21" i="19"/>
  <c r="AG14" i="21"/>
  <c r="AT10" i="21"/>
  <c r="ER21" i="19"/>
  <c r="AP21" i="19"/>
  <c r="X21" i="19"/>
  <c r="AY21" i="19"/>
  <c r="Q20" i="17"/>
  <c r="AV14" i="17"/>
  <c r="O10" i="11"/>
  <c r="X22" i="20"/>
  <c r="AN22" i="20"/>
  <c r="T22" i="20"/>
  <c r="AD22" i="20"/>
  <c r="AP22" i="20"/>
  <c r="AI22" i="20"/>
  <c r="Q22" i="20"/>
  <c r="T22" i="21"/>
  <c r="AZ22" i="20"/>
  <c r="O18" i="11"/>
  <c r="AX22" i="20"/>
  <c r="H22" i="20"/>
  <c r="G20" i="14"/>
  <c r="O12" i="11"/>
  <c r="O22" i="20"/>
  <c r="Z22" i="20"/>
  <c r="AB22" i="20"/>
  <c r="AJ22" i="20"/>
  <c r="F22" i="20"/>
  <c r="AV22" i="20"/>
  <c r="O17" i="11"/>
  <c r="E22" i="20"/>
  <c r="AK22" i="20"/>
  <c r="R22" i="20"/>
  <c r="AH22" i="20"/>
  <c r="AU22" i="20"/>
  <c r="AM22" i="20"/>
  <c r="I12" i="12" l="1"/>
  <c r="K17" i="12"/>
  <c r="K17" i="7"/>
  <c r="K9" i="12"/>
  <c r="I12" i="7"/>
  <c r="C14" i="6"/>
  <c r="AB21" i="21"/>
  <c r="H21" i="21"/>
  <c r="K19" i="12"/>
  <c r="I11" i="12"/>
  <c r="AV14" i="16"/>
  <c r="BG14" i="13"/>
  <c r="AK21" i="13"/>
  <c r="BC21" i="13"/>
  <c r="BD14" i="13"/>
  <c r="BM21" i="13"/>
  <c r="AD21" i="13"/>
  <c r="AI21" i="13"/>
  <c r="L21" i="13"/>
  <c r="N21" i="13"/>
  <c r="BD10" i="13"/>
  <c r="K16" i="12"/>
  <c r="K10" i="12"/>
  <c r="Q13" i="11"/>
  <c r="I9" i="12"/>
  <c r="BJ20" i="11"/>
  <c r="Q21" i="17"/>
  <c r="S21" i="16"/>
  <c r="J20" i="2"/>
  <c r="J12" i="12"/>
  <c r="F16" i="2"/>
  <c r="H16" i="2"/>
  <c r="I13" i="12"/>
  <c r="I16" i="12"/>
  <c r="F20" i="2"/>
  <c r="I10" i="12"/>
  <c r="J12" i="10"/>
  <c r="L12" i="10" s="1"/>
  <c r="J18" i="10"/>
  <c r="L18" i="10" s="1"/>
  <c r="J16" i="12"/>
  <c r="BD17" i="8"/>
  <c r="H17" i="7" s="1"/>
  <c r="H23" i="12"/>
  <c r="J19" i="10"/>
  <c r="L19" i="10" s="1"/>
  <c r="D14" i="5"/>
  <c r="G12" i="12"/>
  <c r="AH14" i="11"/>
  <c r="AP9" i="11"/>
  <c r="J19" i="7"/>
  <c r="G16" i="3"/>
  <c r="G11" i="3"/>
  <c r="I10" i="3"/>
  <c r="AI20" i="11"/>
  <c r="AE14" i="11"/>
  <c r="AG14" i="11"/>
  <c r="F11" i="12"/>
  <c r="BD19" i="8"/>
  <c r="H19" i="7" s="1"/>
  <c r="BE18" i="8"/>
  <c r="I18" i="7" s="1"/>
  <c r="AP14" i="21"/>
  <c r="AR14" i="11"/>
  <c r="G20" i="7"/>
  <c r="N14" i="17"/>
  <c r="AT21" i="8"/>
  <c r="F11" i="17"/>
  <c r="AQ11" i="17" s="1"/>
  <c r="K14" i="17"/>
  <c r="J14" i="17"/>
  <c r="K20" i="17"/>
  <c r="AF14" i="17"/>
  <c r="AX23" i="17"/>
  <c r="AQ10" i="17"/>
  <c r="M14" i="21"/>
  <c r="M21" i="21" s="1"/>
  <c r="AM14" i="21"/>
  <c r="BC23" i="21"/>
  <c r="W20" i="16"/>
  <c r="AG14" i="17"/>
  <c r="AJ20" i="17"/>
  <c r="AJ14" i="17"/>
  <c r="AK20" i="17"/>
  <c r="AK14" i="17"/>
  <c r="AL14" i="17"/>
  <c r="AM14" i="17"/>
  <c r="AT21" i="17"/>
  <c r="G14" i="16"/>
  <c r="EM21" i="8"/>
  <c r="E14" i="21"/>
  <c r="N14" i="21"/>
  <c r="O14" i="21"/>
  <c r="O21" i="21" s="1"/>
  <c r="AL14" i="21"/>
  <c r="AL23" i="21" s="1"/>
  <c r="AN14" i="21"/>
  <c r="AN21" i="21" s="1"/>
  <c r="AY14" i="21"/>
  <c r="BA23" i="21"/>
  <c r="C18" i="14"/>
  <c r="K18" i="14" s="1"/>
  <c r="F12" i="12"/>
  <c r="D12" i="12"/>
  <c r="P13" i="11"/>
  <c r="AS14" i="11"/>
  <c r="AS20" i="11"/>
  <c r="E14" i="11"/>
  <c r="AH20" i="11"/>
  <c r="S14" i="11"/>
  <c r="T14" i="11" s="1"/>
  <c r="AI14" i="11"/>
  <c r="F20" i="11"/>
  <c r="AU14" i="11"/>
  <c r="AP18" i="11"/>
  <c r="AT14" i="11"/>
  <c r="AV20" i="11"/>
  <c r="R14" i="11"/>
  <c r="Y19" i="11"/>
  <c r="Z14" i="11"/>
  <c r="AD14" i="11"/>
  <c r="AF20" i="11"/>
  <c r="AF14" i="11"/>
  <c r="Q16" i="11"/>
  <c r="I14" i="11"/>
  <c r="I21" i="11" s="1"/>
  <c r="J20" i="11"/>
  <c r="AY20" i="11"/>
  <c r="C20" i="5"/>
  <c r="B14" i="5"/>
  <c r="J12" i="7"/>
  <c r="E19" i="3"/>
  <c r="AN19" i="11"/>
  <c r="D17" i="6"/>
  <c r="J17" i="12" s="1"/>
  <c r="E17" i="3"/>
  <c r="I18" i="3"/>
  <c r="D13" i="6"/>
  <c r="J13" i="12" s="1"/>
  <c r="J11" i="10"/>
  <c r="L11" i="10" s="1"/>
  <c r="J13" i="10"/>
  <c r="L13" i="10" s="1"/>
  <c r="J16" i="10"/>
  <c r="L16" i="10" s="1"/>
  <c r="AM14" i="11"/>
  <c r="L19" i="14"/>
  <c r="M21" i="2"/>
  <c r="AY14" i="11"/>
  <c r="U14" i="16"/>
  <c r="V21" i="20"/>
  <c r="BL13" i="16"/>
  <c r="O20" i="16"/>
  <c r="AQ20" i="20"/>
  <c r="AU20" i="20"/>
  <c r="AU21" i="20" s="1"/>
  <c r="BL19" i="16"/>
  <c r="Z20" i="16"/>
  <c r="F17" i="16"/>
  <c r="BL17" i="16" s="1"/>
  <c r="AS14" i="16"/>
  <c r="BD20" i="16"/>
  <c r="BE14" i="16"/>
  <c r="BF14" i="16"/>
  <c r="BK14" i="16"/>
  <c r="I14" i="16"/>
  <c r="AF14" i="16"/>
  <c r="X17" i="16"/>
  <c r="H21" i="16"/>
  <c r="AJ21" i="16"/>
  <c r="AB14" i="16"/>
  <c r="BD14" i="16"/>
  <c r="K21" i="13"/>
  <c r="D14" i="14"/>
  <c r="G14" i="11"/>
  <c r="D14" i="12" s="1"/>
  <c r="C14" i="2"/>
  <c r="G14" i="17"/>
  <c r="BH14" i="16"/>
  <c r="E14" i="7"/>
  <c r="AA14" i="17"/>
  <c r="BG14" i="16"/>
  <c r="G14" i="7"/>
  <c r="K14" i="2"/>
  <c r="K21" i="2" s="1"/>
  <c r="T14" i="17"/>
  <c r="BH20" i="16"/>
  <c r="BG20" i="16"/>
  <c r="F20" i="12"/>
  <c r="AP20" i="21"/>
  <c r="D20" i="14"/>
  <c r="G20" i="11"/>
  <c r="B21" i="7"/>
  <c r="B14" i="6"/>
  <c r="H14" i="2"/>
  <c r="AL14" i="11"/>
  <c r="AO14" i="17"/>
  <c r="W14" i="11"/>
  <c r="F14" i="12" s="1"/>
  <c r="C20" i="6"/>
  <c r="D20" i="3"/>
  <c r="E20" i="3" s="1"/>
  <c r="AL20" i="11"/>
  <c r="B20" i="6"/>
  <c r="U12" i="17"/>
  <c r="W14" i="16"/>
  <c r="M21" i="8"/>
  <c r="F21" i="7" s="1"/>
  <c r="F20" i="7"/>
  <c r="AX21" i="21"/>
  <c r="G21" i="21"/>
  <c r="G23" i="21"/>
  <c r="G22" i="21"/>
  <c r="BD23" i="21"/>
  <c r="AT20" i="21"/>
  <c r="AG21" i="21"/>
  <c r="AA20" i="21"/>
  <c r="BD21" i="21"/>
  <c r="AZ23" i="21"/>
  <c r="AC20" i="20"/>
  <c r="AC23" i="20" s="1"/>
  <c r="AX20" i="20"/>
  <c r="J20" i="20"/>
  <c r="J21" i="20" s="1"/>
  <c r="O20" i="20"/>
  <c r="O21" i="20" s="1"/>
  <c r="AK20" i="20"/>
  <c r="AK21" i="20" s="1"/>
  <c r="BB23" i="20"/>
  <c r="AN20" i="20"/>
  <c r="AN21" i="20" s="1"/>
  <c r="AE20" i="20"/>
  <c r="AE23" i="20" s="1"/>
  <c r="AS19" i="20"/>
  <c r="AV20" i="20"/>
  <c r="AV21" i="20" s="1"/>
  <c r="AF20" i="20"/>
  <c r="AF21" i="20" s="1"/>
  <c r="AB20" i="20"/>
  <c r="AB21" i="20" s="1"/>
  <c r="AJ20" i="20"/>
  <c r="AJ21" i="20" s="1"/>
  <c r="P20" i="20"/>
  <c r="P21" i="20" s="1"/>
  <c r="AT21" i="20" s="1"/>
  <c r="H20" i="20"/>
  <c r="H21" i="20" s="1"/>
  <c r="R21" i="20"/>
  <c r="K20" i="20"/>
  <c r="F18" i="20"/>
  <c r="AS18" i="20" s="1"/>
  <c r="AL20" i="20"/>
  <c r="AL21" i="20" s="1"/>
  <c r="AA20" i="20"/>
  <c r="AA21" i="20" s="1"/>
  <c r="G20" i="20"/>
  <c r="G22" i="20" s="1"/>
  <c r="Y20" i="20"/>
  <c r="Y21" i="20" s="1"/>
  <c r="AG20" i="20"/>
  <c r="AG21" i="20" s="1"/>
  <c r="Z20" i="20"/>
  <c r="Z21" i="20" s="1"/>
  <c r="L20" i="20"/>
  <c r="E20" i="20"/>
  <c r="AB21" i="17"/>
  <c r="AL20" i="17"/>
  <c r="R20" i="17"/>
  <c r="Y14" i="17"/>
  <c r="Y20" i="17"/>
  <c r="O20" i="17"/>
  <c r="O21" i="17" s="1"/>
  <c r="AH23" i="17"/>
  <c r="BU23" i="17"/>
  <c r="J14" i="16"/>
  <c r="F9" i="16"/>
  <c r="BL9" i="16" s="1"/>
  <c r="AC20" i="16"/>
  <c r="BP23" i="16"/>
  <c r="AZ20" i="16"/>
  <c r="J20" i="16"/>
  <c r="BV20" i="16"/>
  <c r="BS20" i="16"/>
  <c r="AD14" i="16"/>
  <c r="AD21" i="16" s="1"/>
  <c r="Q14" i="16"/>
  <c r="X14" i="16"/>
  <c r="AS20" i="16"/>
  <c r="AZ14" i="16"/>
  <c r="AN21" i="16"/>
  <c r="AW21" i="11"/>
  <c r="Q17" i="11"/>
  <c r="P17" i="11"/>
  <c r="Y13" i="11"/>
  <c r="Y14" i="11" s="1"/>
  <c r="AP13" i="11"/>
  <c r="AC17" i="11"/>
  <c r="K14" i="11"/>
  <c r="N20" i="11"/>
  <c r="Q20" i="11" s="1"/>
  <c r="P12" i="11"/>
  <c r="AZ10" i="11"/>
  <c r="AT20" i="11"/>
  <c r="M14" i="11"/>
  <c r="L14" i="11"/>
  <c r="AP17" i="11"/>
  <c r="Z20" i="11"/>
  <c r="AB14" i="11"/>
  <c r="AQ13" i="11"/>
  <c r="BH20" i="11"/>
  <c r="AQ17" i="11"/>
  <c r="W20" i="11"/>
  <c r="Y17" i="11"/>
  <c r="Y20" i="11" s="1"/>
  <c r="X20" i="11"/>
  <c r="AC9" i="11"/>
  <c r="H14" i="11"/>
  <c r="E14" i="12" s="1"/>
  <c r="S20" i="11"/>
  <c r="T20" i="11" s="1"/>
  <c r="H20" i="11"/>
  <c r="X14" i="11"/>
  <c r="AA20" i="11"/>
  <c r="AA21" i="11" s="1"/>
  <c r="M20" i="11"/>
  <c r="C17" i="14"/>
  <c r="K17" i="14" s="1"/>
  <c r="AV21" i="17"/>
  <c r="J17" i="7"/>
  <c r="F20" i="3"/>
  <c r="G20" i="3" s="1"/>
  <c r="H14" i="3"/>
  <c r="E20" i="6"/>
  <c r="BF20" i="11"/>
  <c r="BK20" i="11"/>
  <c r="BK21" i="11" s="1"/>
  <c r="P16" i="11"/>
  <c r="K12" i="12"/>
  <c r="AJ20" i="11"/>
  <c r="D20" i="5"/>
  <c r="P18" i="11"/>
  <c r="F17" i="2"/>
  <c r="H17" i="2"/>
  <c r="J17" i="2"/>
  <c r="F14" i="3"/>
  <c r="E9" i="3"/>
  <c r="G9" i="3"/>
  <c r="T20" i="16"/>
  <c r="T21" i="16" s="1"/>
  <c r="AO20" i="11"/>
  <c r="BL20" i="11"/>
  <c r="W20" i="17"/>
  <c r="X20" i="17" s="1"/>
  <c r="AU20" i="11"/>
  <c r="CK21" i="8"/>
  <c r="AK21" i="16"/>
  <c r="AM14" i="16"/>
  <c r="AX20" i="16"/>
  <c r="AY20" i="16"/>
  <c r="L20" i="17"/>
  <c r="BM14" i="16"/>
  <c r="AE14" i="16"/>
  <c r="AE21" i="16" s="1"/>
  <c r="BH21" i="8"/>
  <c r="AF20" i="16"/>
  <c r="AT20" i="16"/>
  <c r="BU20" i="16"/>
  <c r="K14" i="16"/>
  <c r="K21" i="16" s="1"/>
  <c r="P14" i="21"/>
  <c r="P21" i="21" s="1"/>
  <c r="BB14" i="8"/>
  <c r="BE14" i="8" s="1"/>
  <c r="AB20" i="16"/>
  <c r="AT14" i="16"/>
  <c r="BC14" i="16"/>
  <c r="AW23" i="17"/>
  <c r="P20" i="16"/>
  <c r="M20" i="17"/>
  <c r="M21" i="17" s="1"/>
  <c r="K21" i="8"/>
  <c r="BG11" i="8"/>
  <c r="K11" i="7" s="1"/>
  <c r="BD10" i="8"/>
  <c r="H10" i="7" s="1"/>
  <c r="AF21" i="8"/>
  <c r="AG21" i="16"/>
  <c r="AC14" i="16"/>
  <c r="AE20" i="17"/>
  <c r="H20" i="17"/>
  <c r="H21" i="17" s="1"/>
  <c r="AH14" i="21"/>
  <c r="AH21" i="21" s="1"/>
  <c r="B20" i="5"/>
  <c r="AY21" i="8"/>
  <c r="E14" i="16"/>
  <c r="F12" i="16"/>
  <c r="BL12" i="16" s="1"/>
  <c r="K14" i="21"/>
  <c r="K21" i="21" s="1"/>
  <c r="U20" i="16"/>
  <c r="L14" i="16"/>
  <c r="AP14" i="11"/>
  <c r="BC14" i="8"/>
  <c r="BF14" i="8" s="1"/>
  <c r="G20" i="17"/>
  <c r="AR20" i="17"/>
  <c r="N14" i="16"/>
  <c r="V14" i="17"/>
  <c r="V21" i="17" s="1"/>
  <c r="AV20" i="16"/>
  <c r="Y21" i="21"/>
  <c r="AW20" i="16"/>
  <c r="AY14" i="16"/>
  <c r="AG20" i="17"/>
  <c r="T14" i="21"/>
  <c r="T21" i="21" s="1"/>
  <c r="AI14" i="21"/>
  <c r="AI21" i="21" s="1"/>
  <c r="AO21" i="21"/>
  <c r="AM21" i="21"/>
  <c r="BB23" i="21"/>
  <c r="AK14" i="21"/>
  <c r="AK21" i="21" s="1"/>
  <c r="BF14" i="13"/>
  <c r="BI21" i="13"/>
  <c r="AL21" i="13"/>
  <c r="AZ21" i="13"/>
  <c r="M21" i="13"/>
  <c r="BF18" i="13"/>
  <c r="J21" i="13"/>
  <c r="T21" i="13"/>
  <c r="BF11" i="13"/>
  <c r="BD19" i="13"/>
  <c r="I21" i="13"/>
  <c r="BE13" i="13"/>
  <c r="BF10" i="13"/>
  <c r="BD20" i="13"/>
  <c r="AF21" i="13"/>
  <c r="P21" i="13"/>
  <c r="AO23" i="20"/>
  <c r="T17" i="20"/>
  <c r="S20" i="20"/>
  <c r="S21" i="20" s="1"/>
  <c r="AW21" i="21"/>
  <c r="W20" i="20"/>
  <c r="X20" i="20" s="1"/>
  <c r="L21" i="19"/>
  <c r="J21" i="19"/>
  <c r="M21" i="20"/>
  <c r="AD20" i="20"/>
  <c r="AD23" i="20" s="1"/>
  <c r="AI20" i="20"/>
  <c r="AI21" i="20" s="1"/>
  <c r="F17" i="20"/>
  <c r="N21" i="21"/>
  <c r="K21" i="19"/>
  <c r="AO21" i="20" s="1"/>
  <c r="O21" i="19"/>
  <c r="W21" i="19"/>
  <c r="AE21" i="19"/>
  <c r="BH21" i="19"/>
  <c r="BC23" i="20"/>
  <c r="AC14" i="21"/>
  <c r="AC23" i="21" s="1"/>
  <c r="Q14" i="21"/>
  <c r="Q21" i="21" s="1"/>
  <c r="BE23" i="21"/>
  <c r="AS14" i="20"/>
  <c r="I20" i="20"/>
  <c r="I21" i="20" s="1"/>
  <c r="BC21" i="21"/>
  <c r="AZ21" i="19"/>
  <c r="AD14" i="21"/>
  <c r="AD21" i="21" s="1"/>
  <c r="Z14" i="21"/>
  <c r="AK23" i="20"/>
  <c r="V14" i="21"/>
  <c r="V21" i="21" s="1"/>
  <c r="AJ14" i="21"/>
  <c r="F14" i="21"/>
  <c r="F21" i="21" s="1"/>
  <c r="Q21" i="20"/>
  <c r="CI21" i="19"/>
  <c r="AS21" i="21" s="1"/>
  <c r="EN21" i="19"/>
  <c r="AM20" i="20"/>
  <c r="AM23" i="20" s="1"/>
  <c r="EQ21" i="19"/>
  <c r="U20" i="20"/>
  <c r="J23" i="20"/>
  <c r="AT12" i="21"/>
  <c r="AH21" i="19"/>
  <c r="AH20" i="20"/>
  <c r="AH21" i="20" s="1"/>
  <c r="AO23" i="21"/>
  <c r="BG20" i="19"/>
  <c r="I14" i="21"/>
  <c r="I21" i="21" s="1"/>
  <c r="EO21" i="19"/>
  <c r="C11" i="14"/>
  <c r="K11" i="14" s="1"/>
  <c r="S14" i="21"/>
  <c r="S21" i="21" s="1"/>
  <c r="AE20" i="11"/>
  <c r="AE21" i="11" s="1"/>
  <c r="AJ14" i="11"/>
  <c r="F20" i="14"/>
  <c r="AO21" i="16"/>
  <c r="E20" i="14"/>
  <c r="C19" i="14"/>
  <c r="F14" i="14"/>
  <c r="J21" i="8"/>
  <c r="C9" i="14"/>
  <c r="AQ9" i="11"/>
  <c r="BC20" i="8"/>
  <c r="AZ20" i="8"/>
  <c r="BE20" i="13"/>
  <c r="BB21" i="13"/>
  <c r="AQ17" i="17"/>
  <c r="AX23" i="20"/>
  <c r="I21" i="2"/>
  <c r="AG20" i="11"/>
  <c r="AG23" i="11" s="1"/>
  <c r="AK20" i="11"/>
  <c r="E14" i="14"/>
  <c r="O21" i="16"/>
  <c r="U14" i="17"/>
  <c r="E21" i="2"/>
  <c r="BV14" i="16"/>
  <c r="BI20" i="16"/>
  <c r="D21" i="12"/>
  <c r="I18" i="12"/>
  <c r="BW23" i="20"/>
  <c r="P9" i="11"/>
  <c r="Q10" i="11"/>
  <c r="AQ21" i="20"/>
  <c r="D11" i="6"/>
  <c r="J11" i="12" s="1"/>
  <c r="E11" i="3"/>
  <c r="Q12" i="11"/>
  <c r="R16" i="14"/>
  <c r="BH17" i="16"/>
  <c r="AM18" i="11"/>
  <c r="BI17" i="11"/>
  <c r="BI20" i="11" s="1"/>
  <c r="BI13" i="11"/>
  <c r="BG18" i="11"/>
  <c r="BI11" i="11"/>
  <c r="P21" i="8"/>
  <c r="X21" i="21"/>
  <c r="H20" i="2"/>
  <c r="AO11" i="17"/>
  <c r="T10" i="11"/>
  <c r="AQ20" i="21"/>
  <c r="AM10" i="11"/>
  <c r="BH13" i="16"/>
  <c r="BG11" i="11"/>
  <c r="BG13" i="11"/>
  <c r="BI12" i="11"/>
  <c r="V19" i="11"/>
  <c r="BJ9" i="11"/>
  <c r="BA21" i="19"/>
  <c r="BD14" i="19"/>
  <c r="BF14" i="19"/>
  <c r="AD21" i="8"/>
  <c r="V21" i="8"/>
  <c r="U17" i="21"/>
  <c r="U20" i="21" s="1"/>
  <c r="V18" i="20"/>
  <c r="V17" i="20"/>
  <c r="U16" i="17"/>
  <c r="U20" i="17" s="1"/>
  <c r="AA13" i="16"/>
  <c r="AA19" i="16"/>
  <c r="X18" i="16"/>
  <c r="AA10" i="21"/>
  <c r="D14" i="3"/>
  <c r="N21" i="8"/>
  <c r="G21" i="7" s="1"/>
  <c r="BG13" i="8"/>
  <c r="K13" i="7" s="1"/>
  <c r="BD13" i="8"/>
  <c r="H13" i="7" s="1"/>
  <c r="AM20" i="11"/>
  <c r="BH12" i="11"/>
  <c r="BH14" i="11" s="1"/>
  <c r="BM19" i="11"/>
  <c r="S12" i="17"/>
  <c r="AO20" i="17"/>
  <c r="BJ13" i="11"/>
  <c r="AP12" i="21"/>
  <c r="BM11" i="11"/>
  <c r="BM10" i="11"/>
  <c r="BF9" i="11"/>
  <c r="AP19" i="20"/>
  <c r="V17" i="16"/>
  <c r="AN23" i="17"/>
  <c r="J11" i="2"/>
  <c r="F11" i="2"/>
  <c r="BE17" i="8"/>
  <c r="I17" i="7" s="1"/>
  <c r="BB20" i="8"/>
  <c r="AK14" i="11"/>
  <c r="BA20" i="8"/>
  <c r="I23" i="11"/>
  <c r="AR21" i="13"/>
  <c r="AJ21" i="13"/>
  <c r="N20" i="17"/>
  <c r="I9" i="3"/>
  <c r="AN21" i="8"/>
  <c r="M20" i="16"/>
  <c r="BB21" i="16"/>
  <c r="E20" i="17"/>
  <c r="AH21" i="13"/>
  <c r="R21" i="13"/>
  <c r="AP21" i="13"/>
  <c r="R9" i="14"/>
  <c r="BG14" i="19"/>
  <c r="BF10" i="8"/>
  <c r="J10" i="7" s="1"/>
  <c r="AZ14" i="8"/>
  <c r="AG21" i="13"/>
  <c r="BF19" i="13"/>
  <c r="BF20" i="16"/>
  <c r="K18" i="12"/>
  <c r="AY20" i="13"/>
  <c r="BG18" i="13"/>
  <c r="R14" i="17"/>
  <c r="CL21" i="8"/>
  <c r="G11" i="12"/>
  <c r="CJ21" i="8"/>
  <c r="AP20" i="17"/>
  <c r="N21" i="20"/>
  <c r="CP21" i="8"/>
  <c r="J14" i="21"/>
  <c r="J18" i="2"/>
  <c r="E20" i="16"/>
  <c r="M14" i="16"/>
  <c r="R20" i="16"/>
  <c r="AA12" i="16"/>
  <c r="AD21" i="17"/>
  <c r="AW14" i="16"/>
  <c r="BT14" i="16"/>
  <c r="AD20" i="11"/>
  <c r="AQ21" i="16"/>
  <c r="Q20" i="16"/>
  <c r="AA20" i="17"/>
  <c r="AU14" i="16"/>
  <c r="AU20" i="16"/>
  <c r="BC20" i="16"/>
  <c r="BE20" i="16"/>
  <c r="AI21" i="17"/>
  <c r="BK21" i="16"/>
  <c r="AM20" i="16"/>
  <c r="BO20" i="16"/>
  <c r="BO21" i="16" s="1"/>
  <c r="E20" i="11"/>
  <c r="I20" i="16"/>
  <c r="BJ20" i="16"/>
  <c r="BU14" i="16"/>
  <c r="AM20" i="17"/>
  <c r="AS20" i="17"/>
  <c r="AS21" i="17" s="1"/>
  <c r="Z20" i="17"/>
  <c r="Z21" i="17" s="1"/>
  <c r="BL10" i="16"/>
  <c r="F9" i="17"/>
  <c r="EM21" i="19"/>
  <c r="AR20" i="20"/>
  <c r="V19" i="20"/>
  <c r="X10" i="16"/>
  <c r="L21" i="17"/>
  <c r="AH21" i="16"/>
  <c r="I14" i="17"/>
  <c r="BF12" i="13"/>
  <c r="G20" i="16"/>
  <c r="AX14" i="16"/>
  <c r="BQ14" i="16"/>
  <c r="BQ20" i="16"/>
  <c r="BT20" i="16"/>
  <c r="AF20" i="17"/>
  <c r="Z14" i="16"/>
  <c r="X11" i="16"/>
  <c r="U11" i="17"/>
  <c r="U19" i="17"/>
  <c r="W21" i="21"/>
  <c r="R14" i="16"/>
  <c r="AR14" i="17"/>
  <c r="U18" i="17"/>
  <c r="U12" i="21"/>
  <c r="F12" i="17"/>
  <c r="AQ12" i="17" s="1"/>
  <c r="AI14" i="16"/>
  <c r="AI21" i="16" s="1"/>
  <c r="I20" i="17"/>
  <c r="L20" i="16"/>
  <c r="U17" i="17"/>
  <c r="AZ20" i="20"/>
  <c r="AZ21" i="20" s="1"/>
  <c r="Y14" i="16"/>
  <c r="V18" i="11"/>
  <c r="O20" i="11"/>
  <c r="H14" i="14"/>
  <c r="AD14" i="14"/>
  <c r="Z14" i="14"/>
  <c r="M14" i="14"/>
  <c r="S14" i="14"/>
  <c r="V14" i="14"/>
  <c r="R14" i="14"/>
  <c r="Y14" i="14"/>
  <c r="AA14" i="14"/>
  <c r="W14" i="14"/>
  <c r="P14" i="14"/>
  <c r="Q14" i="14"/>
  <c r="X14" i="14"/>
  <c r="AC14" i="14"/>
  <c r="AB14" i="14"/>
  <c r="V17" i="11"/>
  <c r="U20" i="11"/>
  <c r="AA20" i="14"/>
  <c r="V20" i="14"/>
  <c r="S20" i="14"/>
  <c r="W20" i="14"/>
  <c r="H20" i="14"/>
  <c r="Z20" i="14"/>
  <c r="X20" i="14"/>
  <c r="AD20" i="14"/>
  <c r="Q20" i="14"/>
  <c r="P20" i="14"/>
  <c r="Y20" i="14"/>
  <c r="AC20" i="14"/>
  <c r="AB20" i="14"/>
  <c r="R20" i="14"/>
  <c r="M20" i="14"/>
  <c r="U23" i="11"/>
  <c r="U14" i="11"/>
  <c r="V14" i="11" s="1"/>
  <c r="U21" i="11"/>
  <c r="V21" i="11" s="1"/>
  <c r="V10" i="11"/>
  <c r="V12" i="11"/>
  <c r="O14" i="11"/>
  <c r="O21" i="11"/>
  <c r="AU22" i="17"/>
  <c r="AX22" i="21"/>
  <c r="BP22" i="16"/>
  <c r="BR22" i="16"/>
  <c r="J22" i="20"/>
  <c r="S22" i="20"/>
  <c r="AW22" i="11"/>
  <c r="AV22" i="21"/>
  <c r="AO22" i="20"/>
  <c r="P22" i="20"/>
  <c r="I22" i="20"/>
  <c r="H22" i="17"/>
  <c r="AI23" i="11" l="1"/>
  <c r="D21" i="14"/>
  <c r="AN23" i="20"/>
  <c r="W21" i="11"/>
  <c r="AL21" i="21"/>
  <c r="F20" i="20"/>
  <c r="F23" i="20" s="1"/>
  <c r="AR21" i="20"/>
  <c r="AS17" i="20"/>
  <c r="AP21" i="20"/>
  <c r="G21" i="16"/>
  <c r="AP21" i="16"/>
  <c r="AG23" i="17"/>
  <c r="G23" i="11"/>
  <c r="K21" i="17"/>
  <c r="D23" i="12"/>
  <c r="C21" i="2"/>
  <c r="D21" i="2" s="1"/>
  <c r="AY23" i="21"/>
  <c r="J23" i="17"/>
  <c r="F20" i="17"/>
  <c r="E21" i="17"/>
  <c r="AU23" i="21"/>
  <c r="J21" i="11"/>
  <c r="R21" i="11"/>
  <c r="AU21" i="21"/>
  <c r="AN23" i="21"/>
  <c r="L21" i="11"/>
  <c r="AI21" i="11"/>
  <c r="AH21" i="11"/>
  <c r="M21" i="11"/>
  <c r="AF21" i="11"/>
  <c r="H21" i="11"/>
  <c r="Z21" i="11"/>
  <c r="G22" i="11"/>
  <c r="D21" i="5"/>
  <c r="N21" i="2"/>
  <c r="AY21" i="21"/>
  <c r="AS22" i="20"/>
  <c r="G23" i="20"/>
  <c r="G21" i="20"/>
  <c r="BG21" i="19"/>
  <c r="AQ21" i="21"/>
  <c r="AJ23" i="17"/>
  <c r="BG23" i="16"/>
  <c r="BA21" i="13"/>
  <c r="BF21" i="13" s="1"/>
  <c r="BE20" i="8"/>
  <c r="I20" i="7" s="1"/>
  <c r="E23" i="12"/>
  <c r="AJ23" i="11"/>
  <c r="AC14" i="11"/>
  <c r="AN20" i="11"/>
  <c r="G21" i="11"/>
  <c r="BD21" i="16"/>
  <c r="B21" i="5"/>
  <c r="F21" i="14"/>
  <c r="X21" i="11"/>
  <c r="AB21" i="11"/>
  <c r="AK21" i="11"/>
  <c r="AG21" i="11"/>
  <c r="U21" i="16"/>
  <c r="BF23" i="16"/>
  <c r="AC21" i="20"/>
  <c r="BE21" i="13" l="1"/>
  <c r="BD21" i="13"/>
  <c r="AA20" i="16"/>
  <c r="Q21" i="16"/>
  <c r="AM21" i="16"/>
  <c r="AW21" i="16"/>
  <c r="D14" i="2"/>
  <c r="E14" i="6"/>
  <c r="AO14" i="11"/>
  <c r="F14" i="11"/>
  <c r="G14" i="12" s="1"/>
  <c r="G23" i="12" s="1"/>
  <c r="C21" i="5"/>
  <c r="AC21" i="16"/>
  <c r="Y21" i="17"/>
  <c r="F23" i="12"/>
  <c r="W23" i="11"/>
  <c r="D20" i="6"/>
  <c r="AF21" i="16"/>
  <c r="AC20" i="11"/>
  <c r="AC21" i="11" s="1"/>
  <c r="AB23" i="16"/>
  <c r="AQ20" i="11"/>
  <c r="AN21" i="17"/>
  <c r="E21" i="14"/>
  <c r="W21" i="16"/>
  <c r="H21" i="12"/>
  <c r="AE21" i="20"/>
  <c r="Y23" i="20"/>
  <c r="AW21" i="20"/>
  <c r="AM21" i="20"/>
  <c r="AK21" i="17"/>
  <c r="AE21" i="17"/>
  <c r="AP23" i="17"/>
  <c r="AA21" i="17"/>
  <c r="AH21" i="17"/>
  <c r="F14" i="16"/>
  <c r="BL14" i="16" s="1"/>
  <c r="N21" i="16"/>
  <c r="AX21" i="16"/>
  <c r="AZ21" i="16"/>
  <c r="BA23" i="16"/>
  <c r="BA21" i="16"/>
  <c r="BE21" i="16"/>
  <c r="BP21" i="16"/>
  <c r="AB21" i="16"/>
  <c r="AY21" i="16"/>
  <c r="AR21" i="16"/>
  <c r="F20" i="16"/>
  <c r="Y21" i="11"/>
  <c r="BI14" i="11"/>
  <c r="BI21" i="11" s="1"/>
  <c r="H23" i="11"/>
  <c r="AY21" i="11"/>
  <c r="AL23" i="11"/>
  <c r="G21" i="2"/>
  <c r="Y21" i="16"/>
  <c r="I20" i="12"/>
  <c r="BE23" i="16"/>
  <c r="I23" i="21"/>
  <c r="AP21" i="21"/>
  <c r="D21" i="7"/>
  <c r="AO21" i="17"/>
  <c r="F21" i="12"/>
  <c r="BH21" i="16"/>
  <c r="P21" i="16"/>
  <c r="AG21" i="17"/>
  <c r="AP23" i="21"/>
  <c r="S14" i="17"/>
  <c r="AO23" i="11"/>
  <c r="AV21" i="16"/>
  <c r="AQ23" i="21"/>
  <c r="AJ21" i="17"/>
  <c r="B21" i="2"/>
  <c r="J21" i="2" s="1"/>
  <c r="B21" i="3"/>
  <c r="AD21" i="11"/>
  <c r="AP20" i="11"/>
  <c r="G23" i="16"/>
  <c r="G14" i="3"/>
  <c r="F21" i="3"/>
  <c r="I17" i="12"/>
  <c r="I14" i="3"/>
  <c r="H21" i="3"/>
  <c r="K11" i="12"/>
  <c r="T21" i="17"/>
  <c r="AP23" i="20"/>
  <c r="AC21" i="21"/>
  <c r="F23" i="21"/>
  <c r="AJ21" i="21"/>
  <c r="AJ23" i="21"/>
  <c r="I23" i="20"/>
  <c r="AD21" i="20"/>
  <c r="BG14" i="11"/>
  <c r="E21" i="12"/>
  <c r="BG21" i="16"/>
  <c r="C21" i="7"/>
  <c r="BI21" i="16"/>
  <c r="AF21" i="17"/>
  <c r="AF23" i="17"/>
  <c r="AM23" i="17"/>
  <c r="AM21" i="17"/>
  <c r="T20" i="20"/>
  <c r="T21" i="20" s="1"/>
  <c r="BF14" i="11"/>
  <c r="BF21" i="11" s="1"/>
  <c r="AO23" i="17"/>
  <c r="BL14" i="11"/>
  <c r="BL21" i="11" s="1"/>
  <c r="J10" i="12"/>
  <c r="AF23" i="11"/>
  <c r="BH21" i="11"/>
  <c r="K13" i="12"/>
  <c r="AU21" i="16"/>
  <c r="AU23" i="16"/>
  <c r="AL21" i="17"/>
  <c r="AL23" i="17"/>
  <c r="AT23" i="16"/>
  <c r="AT21" i="16"/>
  <c r="P10" i="11"/>
  <c r="BM14" i="11"/>
  <c r="AR21" i="11"/>
  <c r="AV21" i="21"/>
  <c r="AR21" i="17"/>
  <c r="BF21" i="16"/>
  <c r="G22" i="16"/>
  <c r="BG20" i="8"/>
  <c r="BB21" i="8"/>
  <c r="AK23" i="11"/>
  <c r="N14" i="11"/>
  <c r="Q14" i="11" s="1"/>
  <c r="AP21" i="17"/>
  <c r="AR21" i="21"/>
  <c r="BJ21" i="16"/>
  <c r="E14" i="3"/>
  <c r="BI14" i="16"/>
  <c r="BI23" i="16" s="1"/>
  <c r="AN14" i="11"/>
  <c r="AN23" i="11" s="1"/>
  <c r="D14" i="6"/>
  <c r="J14" i="12" s="1"/>
  <c r="J14" i="7"/>
  <c r="AQ14" i="20"/>
  <c r="AQ23" i="20" s="1"/>
  <c r="D21" i="3"/>
  <c r="G21" i="12"/>
  <c r="E21" i="7"/>
  <c r="I14" i="7"/>
  <c r="I14" i="12"/>
  <c r="U14" i="21"/>
  <c r="U21" i="21" s="1"/>
  <c r="I23" i="17"/>
  <c r="I21" i="17"/>
  <c r="G22" i="17"/>
  <c r="G21" i="17"/>
  <c r="G23" i="17"/>
  <c r="AQ20" i="17"/>
  <c r="R21" i="17"/>
  <c r="AZ21" i="8"/>
  <c r="BD14" i="8"/>
  <c r="H14" i="7" s="1"/>
  <c r="BG14" i="8"/>
  <c r="BA21" i="8"/>
  <c r="BD21" i="8" s="1"/>
  <c r="BD20" i="8"/>
  <c r="H20" i="7" s="1"/>
  <c r="V20" i="16"/>
  <c r="Q11" i="11"/>
  <c r="P11" i="11"/>
  <c r="P19" i="11"/>
  <c r="BM20" i="11"/>
  <c r="BM21" i="11" s="1"/>
  <c r="BH23" i="16"/>
  <c r="AS20" i="20"/>
  <c r="AJ21" i="11"/>
  <c r="AX21" i="20"/>
  <c r="BJ14" i="11"/>
  <c r="BJ21" i="11" s="1"/>
  <c r="AS23" i="16"/>
  <c r="AS21" i="16"/>
  <c r="BD21" i="19"/>
  <c r="BF21" i="19"/>
  <c r="Q19" i="11"/>
  <c r="K21" i="11"/>
  <c r="V14" i="16"/>
  <c r="BU23" i="16"/>
  <c r="BU21" i="16"/>
  <c r="F14" i="17"/>
  <c r="F23" i="17" s="1"/>
  <c r="AQ9" i="17"/>
  <c r="AQ14" i="17" s="1"/>
  <c r="I21" i="16"/>
  <c r="I23" i="16"/>
  <c r="BC23" i="16"/>
  <c r="BC21" i="16"/>
  <c r="AY21" i="13"/>
  <c r="BG21" i="13" s="1"/>
  <c r="BG20" i="13"/>
  <c r="N21" i="17"/>
  <c r="AA14" i="21"/>
  <c r="F21" i="20"/>
  <c r="L21" i="20"/>
  <c r="J21" i="17"/>
  <c r="BF20" i="8"/>
  <c r="J20" i="7" s="1"/>
  <c r="C14" i="14"/>
  <c r="BE21" i="19"/>
  <c r="AE23" i="11"/>
  <c r="Q18" i="11"/>
  <c r="BG20" i="11"/>
  <c r="R21" i="16"/>
  <c r="BM21" i="16" s="1"/>
  <c r="J21" i="16"/>
  <c r="J23" i="16"/>
  <c r="AA14" i="16"/>
  <c r="AT14" i="21"/>
  <c r="AT23" i="21" s="1"/>
  <c r="AR23" i="21" s="1"/>
  <c r="S20" i="17"/>
  <c r="BC21" i="8"/>
  <c r="K9" i="14"/>
  <c r="C20" i="14"/>
  <c r="K19" i="14"/>
  <c r="Y21" i="14"/>
  <c r="AB21" i="14"/>
  <c r="R21" i="14"/>
  <c r="AC21" i="14"/>
  <c r="V21" i="14"/>
  <c r="X21" i="14"/>
  <c r="S21" i="14"/>
  <c r="M21" i="14"/>
  <c r="Z21" i="14"/>
  <c r="W21" i="14"/>
  <c r="AD21" i="14"/>
  <c r="V20" i="11"/>
  <c r="AA21" i="14"/>
  <c r="H21" i="14"/>
  <c r="AF22" i="17"/>
  <c r="X22" i="11"/>
  <c r="E22" i="12"/>
  <c r="F22" i="21"/>
  <c r="AY22" i="21"/>
  <c r="BM22" i="16"/>
  <c r="AU22" i="21"/>
  <c r="I22" i="12"/>
  <c r="AB22" i="11"/>
  <c r="H22" i="12"/>
  <c r="L22" i="16"/>
  <c r="AJ22" i="21"/>
  <c r="Y22" i="17"/>
  <c r="AG22" i="21"/>
  <c r="O22" i="16"/>
  <c r="R22" i="21"/>
  <c r="W22" i="17"/>
  <c r="AN22" i="11"/>
  <c r="AM22" i="11"/>
  <c r="K22" i="21"/>
  <c r="BJ22" i="16"/>
  <c r="AT22" i="16"/>
  <c r="BG22" i="16"/>
  <c r="AS22" i="11"/>
  <c r="AF22" i="21"/>
  <c r="AN22" i="16"/>
  <c r="I22" i="16"/>
  <c r="P22" i="17"/>
  <c r="AV22" i="16"/>
  <c r="X22" i="16"/>
  <c r="BH22" i="16"/>
  <c r="AB22" i="21"/>
  <c r="AI22" i="17"/>
  <c r="BS22" i="16"/>
  <c r="AZ22" i="11"/>
  <c r="V22" i="20"/>
  <c r="Y22" i="21"/>
  <c r="BC22" i="16"/>
  <c r="J22" i="21"/>
  <c r="Q22" i="11"/>
  <c r="BC22" i="21"/>
  <c r="AR22" i="16"/>
  <c r="AC22" i="16"/>
  <c r="BO22" i="16"/>
  <c r="AD22" i="11"/>
  <c r="J22" i="16"/>
  <c r="AC22" i="17"/>
  <c r="AF22" i="11"/>
  <c r="T22" i="11"/>
  <c r="N22" i="21"/>
  <c r="J22" i="17"/>
  <c r="U22" i="11"/>
  <c r="AV22" i="11"/>
  <c r="V22" i="21"/>
  <c r="Z22" i="11"/>
  <c r="AS22" i="21"/>
  <c r="AE22" i="16"/>
  <c r="V22" i="11"/>
  <c r="AN22" i="17"/>
  <c r="AQ22" i="16"/>
  <c r="AO22" i="16"/>
  <c r="M22" i="16"/>
  <c r="H22" i="21"/>
  <c r="AL22" i="16"/>
  <c r="BB22" i="16"/>
  <c r="G22" i="12"/>
  <c r="K22" i="16"/>
  <c r="BA22" i="16"/>
  <c r="AA22" i="11"/>
  <c r="AI22" i="21"/>
  <c r="N22" i="11"/>
  <c r="H22" i="16"/>
  <c r="AM22" i="17"/>
  <c r="K22" i="12"/>
  <c r="BK22" i="16"/>
  <c r="AE22" i="17"/>
  <c r="AD22" i="16"/>
  <c r="M22" i="11"/>
  <c r="X22" i="17"/>
  <c r="E22" i="11"/>
  <c r="Y22" i="11"/>
  <c r="I22" i="11"/>
  <c r="Z22" i="21"/>
  <c r="I22" i="21"/>
  <c r="AJ22" i="11"/>
  <c r="BN22" i="16"/>
  <c r="AK22" i="17"/>
  <c r="D22" i="12"/>
  <c r="BE22" i="21"/>
  <c r="AP22" i="17"/>
  <c r="AD22" i="21"/>
  <c r="AG22" i="17"/>
  <c r="O22" i="21"/>
  <c r="AU22" i="11"/>
  <c r="AZ22" i="16"/>
  <c r="AH22" i="21"/>
  <c r="AX22" i="16"/>
  <c r="J22" i="11"/>
  <c r="AE22" i="11"/>
  <c r="T22" i="17"/>
  <c r="E22" i="21"/>
  <c r="AP22" i="21"/>
  <c r="AH22" i="16"/>
  <c r="AS22" i="17"/>
  <c r="AT22" i="11"/>
  <c r="AH22" i="17"/>
  <c r="Z22" i="16"/>
  <c r="W22" i="16"/>
  <c r="AJ22" i="17"/>
  <c r="AR22" i="17"/>
  <c r="K22" i="17"/>
  <c r="AL22" i="11"/>
  <c r="AT22" i="20"/>
  <c r="R22" i="16"/>
  <c r="P22" i="21"/>
  <c r="AC22" i="11"/>
  <c r="K22" i="11"/>
  <c r="T22" i="16"/>
  <c r="AE22" i="21"/>
  <c r="L22" i="17"/>
  <c r="AS22" i="16"/>
  <c r="BF22" i="16"/>
  <c r="AK22" i="11"/>
  <c r="AA22" i="17"/>
  <c r="AJ22" i="16"/>
  <c r="AO22" i="21"/>
  <c r="J22" i="12"/>
  <c r="AG22" i="11"/>
  <c r="AL22" i="21"/>
  <c r="BE22" i="16"/>
  <c r="P22" i="16"/>
  <c r="AC22" i="21"/>
  <c r="U22" i="16"/>
  <c r="AM22" i="16"/>
  <c r="AA22" i="16"/>
  <c r="U22" i="20"/>
  <c r="BI22" i="16"/>
  <c r="F22" i="17"/>
  <c r="AL22" i="17"/>
  <c r="F22" i="16"/>
  <c r="W22" i="11"/>
  <c r="U22" i="21"/>
  <c r="S22" i="16"/>
  <c r="AR22" i="11"/>
  <c r="AB22" i="17"/>
  <c r="AK22" i="16"/>
  <c r="L22" i="21"/>
  <c r="M22" i="17"/>
  <c r="S22" i="11"/>
  <c r="S22" i="21"/>
  <c r="E22" i="17"/>
  <c r="AT22" i="17"/>
  <c r="O22" i="11"/>
  <c r="BD22" i="16"/>
  <c r="AF22" i="16"/>
  <c r="AI22" i="16"/>
  <c r="L22" i="11"/>
  <c r="F22" i="11"/>
  <c r="AO22" i="17"/>
  <c r="AY22" i="16"/>
  <c r="AW22" i="16"/>
  <c r="AK22" i="21"/>
  <c r="AB22" i="16"/>
  <c r="BD22" i="21"/>
  <c r="H22" i="11"/>
  <c r="AO22" i="11"/>
  <c r="O22" i="17"/>
  <c r="F22" i="12"/>
  <c r="AH22" i="11"/>
  <c r="Q22" i="21"/>
  <c r="U22" i="17"/>
  <c r="E22" i="16"/>
  <c r="AV22" i="17"/>
  <c r="AA22" i="21"/>
  <c r="AW22" i="17"/>
  <c r="R22" i="11"/>
  <c r="AY22" i="11"/>
  <c r="S22" i="17"/>
  <c r="X22" i="21"/>
  <c r="AR22" i="20"/>
  <c r="R22" i="17"/>
  <c r="AM22" i="21"/>
  <c r="N22" i="16"/>
  <c r="Q22" i="17"/>
  <c r="AD22" i="17"/>
  <c r="AR22" i="21"/>
  <c r="AP22" i="16"/>
  <c r="AI22" i="11"/>
  <c r="M22" i="21"/>
  <c r="P22" i="11"/>
  <c r="AU22" i="16"/>
  <c r="BQ22" i="16"/>
  <c r="N22" i="17"/>
  <c r="AW22" i="21"/>
  <c r="Y22" i="16"/>
  <c r="V22" i="16"/>
  <c r="I22" i="17"/>
  <c r="AG22" i="16"/>
  <c r="AN22" i="21"/>
  <c r="Q22" i="16"/>
  <c r="V22" i="17"/>
  <c r="Z22" i="17"/>
  <c r="AQ22" i="17" l="1"/>
  <c r="AQ22" i="11"/>
  <c r="AP22" i="11"/>
  <c r="AT22" i="21"/>
  <c r="BL22" i="16"/>
  <c r="V21" i="16"/>
  <c r="BG21" i="11"/>
  <c r="I21" i="3"/>
  <c r="G21" i="3"/>
  <c r="F21" i="2"/>
  <c r="BV23" i="16"/>
  <c r="BV21" i="16"/>
  <c r="F23" i="11"/>
  <c r="BG21" i="8"/>
  <c r="H21" i="2"/>
  <c r="S21" i="17"/>
  <c r="F21" i="11"/>
  <c r="AQ21" i="11" s="1"/>
  <c r="AQ14" i="11"/>
  <c r="AQ23" i="11" s="1"/>
  <c r="F21" i="17"/>
  <c r="AQ21" i="17" s="1"/>
  <c r="F23" i="16"/>
  <c r="E21" i="6"/>
  <c r="C21" i="6"/>
  <c r="AO21" i="11"/>
  <c r="AM21" i="11"/>
  <c r="B21" i="6"/>
  <c r="H21" i="7" s="1"/>
  <c r="AL21" i="11"/>
  <c r="BL20" i="16"/>
  <c r="F21" i="16"/>
  <c r="E23" i="21"/>
  <c r="E21" i="21"/>
  <c r="AW23" i="20"/>
  <c r="AS23" i="20"/>
  <c r="AR23" i="20" s="1"/>
  <c r="AV23" i="11"/>
  <c r="C21" i="14"/>
  <c r="BF21" i="8"/>
  <c r="Z21" i="21"/>
  <c r="M21" i="16"/>
  <c r="AM23" i="11"/>
  <c r="U21" i="20"/>
  <c r="K21" i="20"/>
  <c r="AS21" i="20" s="1"/>
  <c r="BT23" i="16"/>
  <c r="BT21" i="16"/>
  <c r="E21" i="3"/>
  <c r="AN21" i="11"/>
  <c r="D21" i="6"/>
  <c r="J21" i="21"/>
  <c r="AT21" i="21" s="1"/>
  <c r="BE21" i="8"/>
  <c r="J20" i="12"/>
  <c r="K14" i="7"/>
  <c r="K14" i="12"/>
  <c r="N21" i="11"/>
  <c r="AA23" i="21"/>
  <c r="Z23" i="21"/>
  <c r="I23" i="12"/>
  <c r="K20" i="7"/>
  <c r="K20" i="12"/>
  <c r="E23" i="16"/>
  <c r="K21" i="12" l="1"/>
  <c r="S21" i="11"/>
  <c r="T21" i="11" s="1"/>
  <c r="T23" i="11"/>
  <c r="I21" i="7"/>
  <c r="AV21" i="11"/>
  <c r="I21" i="12"/>
  <c r="K21" i="7"/>
  <c r="K23" i="12"/>
  <c r="W21" i="20"/>
  <c r="W23" i="20"/>
  <c r="E21" i="20"/>
  <c r="X21" i="20"/>
  <c r="BS21" i="16"/>
  <c r="BQ23" i="16"/>
  <c r="AT23" i="11"/>
  <c r="AT21" i="11"/>
  <c r="J23" i="12"/>
  <c r="AA21" i="21"/>
  <c r="AS21" i="11"/>
  <c r="AS23" i="11"/>
  <c r="P21" i="11"/>
  <c r="Q21" i="11"/>
  <c r="X23" i="20"/>
  <c r="E23" i="11"/>
  <c r="S23" i="11"/>
  <c r="E21" i="16"/>
  <c r="Z23" i="16"/>
  <c r="Z21" i="16"/>
  <c r="J21" i="7"/>
  <c r="J21" i="12"/>
  <c r="L21" i="16" l="1"/>
  <c r="BL21" i="16" s="1"/>
  <c r="E23" i="20"/>
  <c r="BQ21" i="16"/>
  <c r="BL23" i="16"/>
  <c r="BJ23" i="16" s="1"/>
  <c r="W21" i="17"/>
  <c r="W23" i="17"/>
  <c r="AU21" i="11"/>
  <c r="AP21" i="11" s="1"/>
  <c r="AA21" i="16"/>
  <c r="AA23" i="16"/>
  <c r="E21" i="11"/>
  <c r="AU23" i="11" l="1"/>
  <c r="AP23" i="11"/>
  <c r="X21" i="17"/>
  <c r="X2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4" shapeId="0">
      <text>
        <r>
          <rPr>
            <b/>
            <sz val="9"/>
            <color indexed="81"/>
            <rFont val="Tahoma"/>
            <family val="2"/>
          </rPr>
          <t>P</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Z20" authorId="1"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List>
</comments>
</file>

<file path=xl/sharedStrings.xml><?xml version="1.0" encoding="utf-8"?>
<sst xmlns="http://schemas.openxmlformats.org/spreadsheetml/2006/main" count="2229" uniqueCount="979">
  <si>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</si>
  <si>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</si>
  <si>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</si>
  <si>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</si>
  <si>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</si>
  <si>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</si>
  <si>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</si>
  <si>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</si>
  <si>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</si>
  <si>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</si>
  <si>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</si>
  <si>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</si>
  <si>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</si>
  <si>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</si>
  <si>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</si>
  <si>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</si>
  <si>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</si>
  <si>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</si>
  <si>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</si>
  <si>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</si>
  <si>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</si>
  <si>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</si>
  <si>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</si>
  <si>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</si>
  <si>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</si>
  <si>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</si>
  <si>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</si>
  <si>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</si>
  <si>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</si>
  <si>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</si>
  <si>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</si>
  <si>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</si>
  <si>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</si>
  <si>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</si>
  <si>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</si>
  <si>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</si>
  <si>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</si>
  <si>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</si>
  <si>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</si>
  <si>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</si>
  <si>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</si>
  <si>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</si>
  <si>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</si>
  <si>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TASUN251+(-TASUN451)</t>
  </si>
  <si>
    <t>Puntos  dedic. Magistrado
residual</t>
  </si>
  <si>
    <t>110</t>
  </si>
  <si>
    <t>DILII124</t>
  </si>
  <si>
    <t>TASUN151</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</si>
  <si>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</si>
  <si>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</si>
  <si>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</si>
  <si>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</si>
  <si>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</si>
  <si>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</si>
  <si>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</si>
  <si>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</si>
  <si>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</si>
  <si>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</si>
  <si>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</si>
  <si>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</si>
  <si>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</si>
  <si>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</si>
  <si>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</si>
  <si>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</si>
  <si>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</si>
  <si>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</si>
  <si>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</si>
  <si>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</si>
  <si>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</si>
  <si>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</si>
  <si>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</si>
  <si>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</si>
  <si>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</si>
  <si>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</si>
  <si>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</si>
  <si>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</si>
  <si>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</si>
  <si>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</si>
  <si>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</si>
  <si>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</si>
  <si>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</si>
  <si>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</si>
  <si>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</si>
  <si>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</si>
  <si>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</si>
  <si>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</si>
  <si>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</si>
  <si>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</si>
  <si>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</si>
  <si>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</si>
  <si>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</si>
  <si>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</si>
  <si>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</si>
  <si>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</si>
  <si>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</si>
  <si>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</si>
  <si>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</si>
  <si>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</si>
  <si>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</si>
  <si>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</si>
  <si>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</si>
  <si>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</si>
  <si>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</si>
  <si>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</si>
  <si>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</si>
  <si>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</si>
  <si>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</si>
  <si>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</si>
  <si>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</si>
  <si>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</si>
  <si>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</si>
  <si>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</si>
  <si>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</si>
  <si>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</si>
  <si>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</si>
  <si>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</si>
  <si>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</si>
  <si>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</si>
  <si>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</si>
  <si>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</si>
  <si>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</si>
  <si>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</si>
  <si>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</si>
  <si>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</si>
  <si>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</si>
  <si>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</si>
  <si>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</si>
  <si>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</si>
  <si>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</si>
  <si>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</si>
  <si>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</si>
  <si>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</si>
  <si>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</si>
  <si>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</si>
  <si>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</si>
  <si>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</si>
  <si>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</si>
  <si>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</si>
  <si>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</si>
  <si>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</si>
  <si>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</si>
  <si>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</si>
  <si>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</si>
  <si>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</si>
  <si>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</si>
  <si>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</si>
  <si>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</si>
  <si>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</si>
  <si>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</si>
  <si>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</si>
  <si>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</si>
  <si>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</si>
  <si>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</si>
  <si>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</si>
  <si>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</si>
  <si>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</si>
  <si>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</si>
  <si>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</si>
  <si>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</si>
  <si>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</si>
  <si>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</si>
  <si>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</si>
  <si>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</si>
  <si>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</si>
  <si>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</si>
  <si>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</si>
  <si>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</si>
  <si>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</si>
  <si>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</si>
  <si>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</si>
  <si>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</si>
  <si>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</si>
  <si>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EJEPE651</t>
  </si>
  <si>
    <t>TVOLU315</t>
  </si>
  <si>
    <t>TVOLU415</t>
  </si>
  <si>
    <t>AUTPEN53+SOBVDM53+SOBVGN53+SOBRST53+AUTVDM53+AUTVGN53+AULOPJ53</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</si>
  <si>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</si>
  <si>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</si>
  <si>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</si>
  <si>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</si>
  <si>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</si>
  <si>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</si>
  <si>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</si>
  <si>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</si>
  <si>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</si>
  <si>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</si>
  <si>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</si>
  <si>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</si>
  <si>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</si>
  <si>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</si>
  <si>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</si>
  <si>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</si>
  <si>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</si>
  <si>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</si>
  <si>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</si>
  <si>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</si>
  <si>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</si>
  <si>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</si>
  <si>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</si>
  <si>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</si>
  <si>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</si>
  <si>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</si>
  <si>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</si>
  <si>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</si>
  <si>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</si>
  <si>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</si>
  <si>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</si>
  <si>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</si>
  <si>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</si>
  <si>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</si>
  <si>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</si>
  <si>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</si>
  <si>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</si>
  <si>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</si>
  <si>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</si>
  <si>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</si>
  <si>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</si>
  <si>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</si>
  <si>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</si>
  <si>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</si>
  <si>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</si>
  <si>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</si>
  <si>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</si>
  <si>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</si>
  <si>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</si>
  <si>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</si>
  <si>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</si>
  <si>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</si>
  <si>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</si>
  <si>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</si>
  <si>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</si>
  <si>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</si>
  <si>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</si>
  <si>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</si>
  <si>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</si>
  <si>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</si>
  <si>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</si>
  <si>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</si>
  <si>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</si>
  <si>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</si>
  <si>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</si>
  <si>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</si>
  <si>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</si>
  <si>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</si>
  <si>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</si>
  <si>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</si>
  <si>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</si>
  <si>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</si>
  <si>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</si>
  <si>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</si>
  <si>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</si>
  <si>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</si>
  <si>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</si>
  <si>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</si>
  <si>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</si>
  <si>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</si>
  <si>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</si>
  <si>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</si>
  <si>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</si>
  <si>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</si>
  <si>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</si>
  <si>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</si>
  <si>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</si>
  <si>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</si>
  <si>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</si>
  <si>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</si>
  <si>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</si>
  <si>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</si>
  <si>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</si>
  <si>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</si>
  <si>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EJECI351</t>
  </si>
  <si>
    <t>EJEPE351</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</si>
  <si>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</si>
  <si>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</si>
  <si>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</si>
  <si>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</si>
  <si>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</si>
  <si>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</si>
  <si>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</si>
  <si>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</si>
  <si>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</si>
  <si>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</si>
  <si>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</si>
  <si>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</si>
  <si>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</si>
  <si>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</si>
  <si>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</si>
  <si>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</si>
  <si>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</si>
  <si>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</si>
  <si>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</si>
  <si>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</si>
  <si>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</si>
  <si>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</si>
  <si>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</si>
  <si>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</si>
  <si>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</si>
  <si>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</si>
  <si>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</si>
  <si>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</si>
  <si>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</si>
  <si>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</si>
  <si>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</si>
  <si>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</si>
  <si>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</si>
  <si>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</si>
  <si>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</si>
  <si>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</si>
  <si>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</si>
  <si>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</si>
  <si>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</si>
  <si>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</si>
  <si>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</si>
  <si>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</si>
  <si>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</si>
  <si>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</si>
  <si>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</si>
  <si>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</si>
  <si>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</si>
  <si>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</si>
  <si>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</si>
  <si>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</si>
  <si>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</si>
  <si>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</si>
  <si>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</si>
  <si>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</si>
  <si>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AUDCE251</t>
  </si>
  <si>
    <t>SENIA251</t>
  </si>
  <si>
    <t>SENIA351</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</si>
  <si>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</si>
  <si>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</si>
  <si>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</si>
  <si>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</si>
  <si>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</si>
  <si>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</si>
  <si>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</si>
  <si>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</si>
  <si>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</si>
  <si>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</si>
  <si>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</si>
  <si>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</si>
  <si>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</si>
  <si>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</si>
  <si>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ESCHAT22</t>
  </si>
  <si>
    <t>ESCMAT22</t>
  </si>
  <si>
    <t>Sentencias pendientes juez</t>
  </si>
  <si>
    <t>SENPEN86</t>
  </si>
  <si>
    <t>SENPEN82</t>
  </si>
  <si>
    <t>SENPNP54</t>
  </si>
  <si>
    <t>SENPNC54</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</si>
  <si>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</si>
  <si>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</si>
  <si>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</si>
  <si>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</si>
  <si>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</si>
  <si>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</si>
  <si>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</si>
  <si>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</si>
  <si>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</si>
  <si>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</si>
  <si>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</si>
  <si>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</si>
  <si>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</si>
  <si>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</si>
  <si>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</si>
  <si>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</si>
  <si>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</si>
  <si>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</si>
  <si>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</si>
  <si>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1088
1001
935
870</t>
  </si>
  <si>
    <t>Asuntos Pendientes de Incoar</t>
  </si>
  <si>
    <t>92</t>
  </si>
  <si>
    <t>93</t>
  </si>
  <si>
    <t>DEMPEN11</t>
  </si>
  <si>
    <t>DEMPEN24</t>
  </si>
  <si>
    <t>DEMPEN51</t>
  </si>
  <si>
    <t>DEMPEN22</t>
  </si>
  <si>
    <t>DEMPEN47</t>
  </si>
  <si>
    <t>Fecha más adelantada señalamiento</t>
  </si>
  <si>
    <t>ULTSEN22</t>
  </si>
  <si>
    <t>ULTSEN47</t>
  </si>
  <si>
    <t>ULTSEN51</t>
  </si>
  <si>
    <t>ULTSEN15</t>
  </si>
  <si>
    <t>94</t>
  </si>
  <si>
    <t>95</t>
  </si>
  <si>
    <t>96</t>
  </si>
  <si>
    <t>TASUN251+TASUN351</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</si>
  <si>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</si>
  <si>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</si>
  <si>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</si>
  <si>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</si>
  <si>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</si>
  <si>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</si>
  <si>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</si>
  <si>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</si>
  <si>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</si>
  <si>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</si>
  <si>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</si>
  <si>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</si>
  <si>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</si>
  <si>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</si>
  <si>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</si>
  <si>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</si>
  <si>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</si>
  <si>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</si>
  <si>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</si>
  <si>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</si>
  <si>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</si>
  <si>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</si>
  <si>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</si>
  <si>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</si>
  <si>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</si>
  <si>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</si>
  <si>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</si>
  <si>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</si>
  <si>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</si>
  <si>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</si>
  <si>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</si>
  <si>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</si>
  <si>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</si>
  <si>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</si>
  <si>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</si>
  <si>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</si>
  <si>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</si>
  <si>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</si>
  <si>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</si>
  <si>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</si>
  <si>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</si>
  <si>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</si>
  <si>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</si>
  <si>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</si>
  <si>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</si>
  <si>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</si>
  <si>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</si>
  <si>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</si>
  <si>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</si>
  <si>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</si>
  <si>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</si>
  <si>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</si>
  <si>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</si>
  <si>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</si>
  <si>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</si>
  <si>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</si>
  <si>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</si>
  <si>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</si>
  <si>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</si>
  <si>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</si>
  <si>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</si>
  <si>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</si>
  <si>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</si>
  <si>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</si>
  <si>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</si>
  <si>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</si>
  <si>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</si>
  <si>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</si>
  <si>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</si>
  <si>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</si>
  <si>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</si>
  <si>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</si>
  <si>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</si>
  <si>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</si>
  <si>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</si>
  <si>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</si>
  <si>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</si>
  <si>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</si>
  <si>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</si>
  <si>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</si>
  <si>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</si>
  <si>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</si>
  <si>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</si>
  <si>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</si>
  <si>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</si>
  <si>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</si>
  <si>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</si>
  <si>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</si>
  <si>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</si>
  <si>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</si>
  <si>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</si>
  <si>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</si>
  <si>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</si>
  <si>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</si>
  <si>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</si>
  <si>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</si>
  <si>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</si>
  <si>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Autos Pendientes (menos de 3 meses) juez</t>
  </si>
  <si>
    <t>Autos Pendientes (entre 3 y 6 meses) juez</t>
  </si>
  <si>
    <t>Autos Pendientes (más de 6 meses) juez</t>
  </si>
  <si>
    <t>AUTPE114</t>
  </si>
  <si>
    <t>AUTPE214</t>
  </si>
  <si>
    <t>AUTPE314</t>
  </si>
  <si>
    <t>AUTPP154</t>
  </si>
  <si>
    <t>AUTPP254</t>
  </si>
  <si>
    <t>AUTPP354</t>
  </si>
  <si>
    <t>Sentencias Pendientes  (más 6 mes)
juez</t>
  </si>
  <si>
    <t>Sentencias Pendientes   (más 6 mes)
juez</t>
  </si>
  <si>
    <t>Autos Pendientes (total) juez</t>
  </si>
  <si>
    <t>AUTPE414</t>
  </si>
  <si>
    <t>AUTPP454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</si>
  <si>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</si>
  <si>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</si>
  <si>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</si>
  <si>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</si>
  <si>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</si>
  <si>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</si>
  <si>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</si>
  <si>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</si>
  <si>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</si>
  <si>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</si>
  <si>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</si>
  <si>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</si>
  <si>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</si>
  <si>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</si>
  <si>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</si>
  <si>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</si>
  <si>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</si>
  <si>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</si>
  <si>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</si>
  <si>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</si>
  <si>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</si>
  <si>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</si>
  <si>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</si>
  <si>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</si>
  <si>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</si>
  <si>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</si>
  <si>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</si>
  <si>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</si>
  <si>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</si>
  <si>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</si>
  <si>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</si>
  <si>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</si>
  <si>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</si>
  <si>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</si>
  <si>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</si>
  <si>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</si>
  <si>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</si>
  <si>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</si>
  <si>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</si>
  <si>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</si>
  <si>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</si>
  <si>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</si>
  <si>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</si>
  <si>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</si>
  <si>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</si>
  <si>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</si>
  <si>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</si>
  <si>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</si>
  <si>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</si>
  <si>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</si>
  <si>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</si>
  <si>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</si>
  <si>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</si>
  <si>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</si>
  <si>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</si>
  <si>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</si>
  <si>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</si>
  <si>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</si>
  <si>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</si>
  <si>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</si>
  <si>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</si>
  <si>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</si>
  <si>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</si>
  <si>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</si>
  <si>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</si>
  <si>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</si>
  <si>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</si>
  <si>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</si>
  <si>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</si>
  <si>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</si>
  <si>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</si>
  <si>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</si>
  <si>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</si>
  <si>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</si>
  <si>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</si>
  <si>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</si>
  <si>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</si>
  <si>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</si>
  <si>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</si>
  <si>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</si>
  <si>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</si>
  <si>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</si>
  <si>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</si>
  <si>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</si>
  <si>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</si>
  <si>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</si>
  <si>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</si>
  <si>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</si>
  <si>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</si>
  <si>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</si>
  <si>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</si>
  <si>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</si>
  <si>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</si>
  <si>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</si>
  <si>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</si>
  <si>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</si>
  <si>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</si>
  <si>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</si>
  <si>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</si>
  <si>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</si>
  <si>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</si>
  <si>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</si>
  <si>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</si>
  <si>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</si>
  <si>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</si>
  <si>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</si>
  <si>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</si>
  <si>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</si>
  <si>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</si>
  <si>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</si>
  <si>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</si>
  <si>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</si>
  <si>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</si>
  <si>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</si>
  <si>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</si>
  <si>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</si>
  <si>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</si>
  <si>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</si>
  <si>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</si>
  <si>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</si>
  <si>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</si>
  <si>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</si>
  <si>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</si>
  <si>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</si>
  <si>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</si>
  <si>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</si>
  <si>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</si>
  <si>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</si>
  <si>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</si>
  <si>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</si>
  <si>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</si>
  <si>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</si>
  <si>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</si>
  <si>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</si>
  <si>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</si>
  <si>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</si>
  <si>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</si>
  <si>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</si>
  <si>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</si>
  <si>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</si>
  <si>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</si>
  <si>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</si>
  <si>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</si>
  <si>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</si>
  <si>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</si>
  <si>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</si>
  <si>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</si>
  <si>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</si>
  <si>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</si>
  <si>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</si>
  <si>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</si>
  <si>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</si>
  <si>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</si>
  <si>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</si>
  <si>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</si>
  <si>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</si>
  <si>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</si>
  <si>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</si>
  <si>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</si>
  <si>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</si>
  <si>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</si>
  <si>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</si>
  <si>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</si>
  <si>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</si>
  <si>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</si>
  <si>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</si>
  <si>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</si>
  <si>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</si>
  <si>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</si>
  <si>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</si>
  <si>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</si>
  <si>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</si>
  <si>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</si>
  <si>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</si>
  <si>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</si>
  <si>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</si>
  <si>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</si>
  <si>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</si>
  <si>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</si>
  <si>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</si>
  <si>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</si>
  <si>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</si>
  <si>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</si>
  <si>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</si>
  <si>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</si>
  <si>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</si>
  <si>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</si>
  <si>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</si>
  <si>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</si>
  <si>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</si>
  <si>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</si>
  <si>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</si>
  <si>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</si>
  <si>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</si>
  <si>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</si>
  <si>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</si>
  <si>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</si>
  <si>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</si>
  <si>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</si>
  <si>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</si>
  <si>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</si>
  <si>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</si>
  <si>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</si>
  <si>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</si>
  <si>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</si>
  <si>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</si>
  <si>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</si>
  <si>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</si>
  <si>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</si>
  <si>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</si>
  <si>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</si>
  <si>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</si>
  <si>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</si>
  <si>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</si>
  <si>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</si>
  <si>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</si>
  <si>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</si>
  <si>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</si>
  <si>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</si>
  <si>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</si>
  <si>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</si>
  <si>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</si>
  <si>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</si>
  <si>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</si>
  <si>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</si>
  <si>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</si>
  <si>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</si>
  <si>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</si>
  <si>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</si>
  <si>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</si>
  <si>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</si>
  <si>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</si>
  <si>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</si>
  <si>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</si>
  <si>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</si>
  <si>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</si>
  <si>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</si>
  <si>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</si>
  <si>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</si>
  <si>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</si>
  <si>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</si>
  <si>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</si>
  <si>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</si>
  <si>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</si>
  <si>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</si>
  <si>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</si>
  <si>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</si>
  <si>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</si>
  <si>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</si>
  <si>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</si>
  <si>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</si>
  <si>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</si>
  <si>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</si>
  <si>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</si>
  <si>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</si>
  <si>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</si>
  <si>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</si>
  <si>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</si>
  <si>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</si>
  <si>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</si>
  <si>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</si>
  <si>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</si>
  <si>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</si>
  <si>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</si>
  <si>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</si>
  <si>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</si>
  <si>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</si>
  <si>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</si>
  <si>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</si>
  <si>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</si>
  <si>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</si>
  <si>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</si>
  <si>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</si>
  <si>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</si>
  <si>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</si>
  <si>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</si>
  <si>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</si>
  <si>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</si>
  <si>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</si>
  <si>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</si>
  <si>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</si>
  <si>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</si>
  <si>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</si>
  <si>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</si>
  <si>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</si>
  <si>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</si>
  <si>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</si>
  <si>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</si>
  <si>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</si>
  <si>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</si>
  <si>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</si>
  <si>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</si>
  <si>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</si>
  <si>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</si>
  <si>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</si>
  <si>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</si>
  <si>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</si>
  <si>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</si>
  <si>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</si>
  <si>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</si>
  <si>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</si>
  <si>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</si>
  <si>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</si>
  <si>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</si>
  <si>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</si>
  <si>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</si>
  <si>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</si>
  <si>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</si>
  <si>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</si>
  <si>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</si>
  <si>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</si>
  <si>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</si>
  <si>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</si>
  <si>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</si>
  <si>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</si>
  <si>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</si>
  <si>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</si>
  <si>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</si>
  <si>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</si>
  <si>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</si>
  <si>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</si>
  <si>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</si>
  <si>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</si>
  <si>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</si>
  <si>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</si>
  <si>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</si>
  <si>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</si>
  <si>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</si>
  <si>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</si>
  <si>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TASUN251-TASUN451+EJEPE251</t>
  </si>
  <si>
    <t>TASUN551+EJEPE551</t>
  </si>
  <si>
    <t>TASUN651+EJEPE651</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</si>
  <si>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</si>
  <si>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</si>
  <si>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</si>
  <si>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</si>
  <si>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</si>
  <si>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</si>
  <si>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</si>
  <si>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</si>
  <si>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</si>
  <si>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</si>
  <si>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</si>
  <si>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</si>
  <si>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</si>
  <si>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</si>
  <si>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</si>
  <si>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</si>
  <si>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</si>
  <si>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</si>
  <si>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</si>
  <si>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</si>
  <si>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</si>
  <si>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</si>
  <si>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</si>
  <si>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</si>
  <si>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</si>
  <si>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</si>
  <si>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</si>
  <si>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</si>
  <si>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</si>
  <si>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</si>
  <si>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</si>
  <si>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</si>
  <si>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</si>
  <si>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</si>
  <si>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</si>
  <si>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</si>
  <si>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</si>
  <si>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</si>
  <si>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</si>
  <si>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</si>
  <si>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</si>
  <si>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</si>
  <si>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</si>
  <si>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</si>
  <si>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</si>
  <si>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</si>
  <si>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</si>
  <si>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</si>
  <si>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</si>
  <si>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</si>
  <si>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</si>
  <si>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</si>
  <si>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</si>
  <si>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</si>
  <si>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</si>
  <si>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</si>
  <si>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</si>
  <si>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</si>
  <si>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</si>
  <si>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</si>
  <si>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</si>
  <si>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</si>
  <si>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</si>
  <si>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</si>
  <si>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</si>
  <si>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</si>
  <si>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</si>
  <si>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</si>
  <si>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</si>
  <si>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</si>
  <si>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</si>
  <si>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</si>
  <si>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</si>
  <si>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</si>
  <si>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</si>
  <si>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</si>
  <si>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</si>
  <si>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</si>
  <si>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</si>
  <si>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</si>
  <si>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</si>
  <si>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</si>
  <si>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</si>
  <si>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</si>
  <si>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</si>
  <si>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</si>
  <si>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</si>
  <si>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</si>
  <si>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</si>
  <si>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</si>
  <si>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</si>
  <si>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</si>
  <si>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</si>
  <si>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</si>
  <si>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</si>
  <si>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</si>
  <si>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</si>
  <si>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</si>
  <si>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</si>
  <si>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</si>
  <si>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</si>
  <si>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</si>
  <si>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</si>
  <si>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</si>
  <si>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</si>
  <si>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</si>
  <si>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</si>
  <si>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</si>
  <si>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</si>
  <si>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</si>
  <si>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</si>
  <si>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</si>
  <si>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</si>
  <si>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</si>
  <si>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</si>
  <si>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</si>
  <si>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</si>
  <si>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</si>
  <si>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</si>
  <si>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</si>
  <si>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</si>
  <si>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</si>
  <si>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</si>
  <si>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</si>
  <si>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</si>
  <si>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</si>
  <si>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</si>
  <si>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</si>
  <si>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</si>
  <si>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</si>
  <si>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</si>
  <si>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</si>
  <si>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</si>
  <si>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</si>
  <si>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</si>
  <si>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</si>
  <si>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</si>
  <si>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</si>
  <si>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</si>
  <si>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</si>
  <si>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</si>
  <si>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</si>
  <si>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jun. 2023</t>
  </si>
  <si>
    <t>Tribunales de Justicia</t>
  </si>
  <si>
    <t>ANDALUCIA</t>
  </si>
  <si>
    <t>Provincias</t>
  </si>
  <si>
    <t>CORDOBA</t>
  </si>
  <si>
    <t>Resumenes por Partidos Judiciales</t>
  </si>
  <si>
    <t>PUENTE GENIL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</si>
</sst>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4">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7" fontId="13" fillId="0" borderId="0" applyFont="0" applyFill="0" applyBorder="0" applyAlignment="0" applyProtection="0"/>
    <xf numFmtId="167" fontId="73"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164" fontId="13" fillId="0" borderId="0" applyFont="0" applyFill="0" applyBorder="0" applyAlignment="0" applyProtection="0"/>
    <xf numFmtId="164" fontId="73" fillId="0" borderId="0" applyFont="0" applyFill="0" applyBorder="0" applyAlignment="0" applyProtection="0"/>
    <xf numFmtId="0" fontId="13" fillId="0" borderId="0"/>
    <xf numFmtId="0" fontId="13" fillId="0" borderId="0"/>
    <xf numFmtId="0" fontId="78"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9" fontId="13" fillId="0" borderId="0" applyFont="0" applyFill="0" applyBorder="0" applyAlignment="0" applyProtection="0"/>
    <xf numFmtId="9" fontId="73"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5" fillId="0" borderId="0" xfId="0" applyFont="1" applyFill="1" applyAlignment="1">
      <alignment horizontal="left"/>
    </xf>
    <xf numFmtId="0" fontId="65" fillId="0" borderId="0" xfId="0" applyNumberFormat="1" applyFont="1" applyAlignment="1">
      <alignment horizontal="left"/>
    </xf>
    <xf numFmtId="0" fontId="65" fillId="0" borderId="0" xfId="0" applyNumberFormat="1" applyFont="1" applyFill="1"/>
    <xf numFmtId="166" fontId="65" fillId="0" borderId="0" xfId="0" applyNumberFormat="1" applyFont="1" applyAlignment="1">
      <alignment horizontal="left"/>
    </xf>
    <xf numFmtId="0" fontId="65"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5" fillId="0" borderId="0" xfId="0" applyFont="1" applyFill="1"/>
    <xf numFmtId="49" fontId="29" fillId="0" borderId="0" xfId="0" applyNumberFormat="1" applyFont="1"/>
    <xf numFmtId="49" fontId="29" fillId="0" borderId="0" xfId="0" applyNumberFormat="1" applyFont="1" applyFill="1"/>
    <xf numFmtId="2" fontId="65" fillId="0" borderId="0" xfId="0" applyNumberFormat="1" applyFont="1" applyFill="1" applyAlignment="1">
      <alignment horizontal="left"/>
    </xf>
    <xf numFmtId="2" fontId="65"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6" fillId="0" borderId="0" xfId="0" applyFont="1"/>
    <xf numFmtId="0" fontId="66" fillId="0" borderId="0" xfId="0" applyFont="1" applyFill="1"/>
    <xf numFmtId="0" fontId="67" fillId="0" borderId="0" xfId="0" applyFont="1" applyAlignment="1">
      <alignment horizontal="left" vertical="center"/>
    </xf>
    <xf numFmtId="0" fontId="67"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8"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5"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5"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5"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5"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5"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9" fillId="0" borderId="0" xfId="0" applyFont="1" applyAlignment="1">
      <alignment vertical="center"/>
    </xf>
    <xf numFmtId="0" fontId="70" fillId="0" borderId="0" xfId="0" applyFont="1" applyAlignment="1">
      <alignment horizontal="left" vertical="center"/>
    </xf>
    <xf numFmtId="9" fontId="70" fillId="0" borderId="0" xfId="15" applyFont="1" applyAlignment="1">
      <alignment horizontal="left" vertical="center"/>
    </xf>
    <xf numFmtId="0" fontId="69" fillId="0" borderId="0" xfId="0" applyFont="1"/>
    <xf numFmtId="0" fontId="71" fillId="0" borderId="0" xfId="0" applyFont="1"/>
    <xf numFmtId="1" fontId="65"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5"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5" fillId="0" borderId="0" xfId="0" applyFont="1" applyFill="1" applyAlignment="1">
      <alignment horizontal="left" wrapText="1"/>
    </xf>
    <xf numFmtId="0" fontId="65" fillId="0" borderId="0" xfId="0" applyNumberFormat="1" applyFont="1" applyFill="1" applyAlignment="1">
      <alignment horizontal="left" wrapText="1"/>
    </xf>
    <xf numFmtId="0" fontId="65" fillId="0" borderId="0" xfId="0" applyNumberFormat="1" applyFont="1" applyFill="1" applyAlignment="1">
      <alignment wrapText="1"/>
    </xf>
    <xf numFmtId="0" fontId="65" fillId="0" borderId="0" xfId="0" applyNumberFormat="1" applyFont="1" applyAlignment="1">
      <alignment horizontal="left" wrapText="1"/>
    </xf>
    <xf numFmtId="0" fontId="44" fillId="0" borderId="0" xfId="0" applyNumberFormat="1" applyFont="1" applyAlignment="1">
      <alignment horizontal="left" wrapText="1"/>
    </xf>
    <xf numFmtId="168" fontId="65" fillId="0" borderId="0" xfId="0" applyNumberFormat="1" applyFont="1" applyAlignment="1">
      <alignment horizontal="left" wrapText="1"/>
    </xf>
    <xf numFmtId="166" fontId="65" fillId="0" borderId="0" xfId="0" applyNumberFormat="1" applyFont="1" applyAlignment="1">
      <alignment horizontal="left" wrapText="1"/>
    </xf>
    <xf numFmtId="0" fontId="65" fillId="0" borderId="0" xfId="0" applyFont="1" applyAlignment="1">
      <alignment horizontal="left" wrapText="1"/>
    </xf>
    <xf numFmtId="0" fontId="65" fillId="0" borderId="0" xfId="0" applyFont="1" applyAlignment="1">
      <alignment horizontal="left" vertical="center" wrapText="1"/>
    </xf>
    <xf numFmtId="49" fontId="29" fillId="0" borderId="0" xfId="0" applyNumberFormat="1" applyFont="1" applyFill="1" applyAlignment="1">
      <alignment horizontal="left" wrapText="1"/>
    </xf>
    <xf numFmtId="0" fontId="65" fillId="0" borderId="0" xfId="0" applyFont="1" applyFill="1" applyAlignment="1">
      <alignment wrapText="1"/>
    </xf>
    <xf numFmtId="49" fontId="29" fillId="0" borderId="0" xfId="0" applyNumberFormat="1" applyFont="1" applyFill="1" applyAlignment="1">
      <alignment wrapText="1"/>
    </xf>
    <xf numFmtId="2" fontId="65" fillId="0" borderId="0" xfId="0" applyNumberFormat="1" applyFont="1" applyFill="1" applyAlignment="1">
      <alignment horizontal="left" wrapText="1"/>
    </xf>
    <xf numFmtId="2" fontId="65" fillId="0" borderId="0" xfId="0" applyNumberFormat="1" applyFont="1" applyAlignment="1">
      <alignment horizontal="left" wrapText="1"/>
    </xf>
    <xf numFmtId="2" fontId="44" fillId="0" borderId="0" xfId="0" applyNumberFormat="1" applyFont="1" applyAlignment="1">
      <alignment horizontal="left" wrapText="1"/>
    </xf>
    <xf numFmtId="168" fontId="65" fillId="0" borderId="0" xfId="0" applyNumberFormat="1" applyFont="1" applyFill="1" applyAlignment="1">
      <alignment horizontal="left" wrapText="1"/>
    </xf>
    <xf numFmtId="166" fontId="65"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6" fillId="0" borderId="0" xfId="0" applyFont="1" applyAlignment="1">
      <alignment wrapText="1"/>
    </xf>
    <xf numFmtId="0" fontId="66"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5" fillId="0" borderId="0" xfId="0" applyNumberFormat="1" applyFont="1" applyAlignment="1">
      <alignment horizontal="left" wrapText="1"/>
    </xf>
    <xf numFmtId="1" fontId="65"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20" borderId="16" xfId="0" applyNumberFormat="1" applyFont="1" applyFill="1" applyBorder="1" applyProtection="1">
      <protection locked="0"/>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16" xfId="0" applyNumberFormat="1" applyFont="1" applyFill="1" applyBorder="1" applyProtection="1">
      <protection locked="0"/>
    </xf>
    <xf numFmtId="2" fontId="16" fillId="21"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1"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0" borderId="16" xfId="0" applyFont="1" applyFill="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4" fillId="0" borderId="0" xfId="0" applyFont="1" applyAlignment="1">
      <alignment horizontal="center" vertical="center"/>
    </xf>
    <xf numFmtId="0" fontId="74" fillId="0" borderId="0" xfId="0" applyFont="1" applyBorder="1" applyAlignment="1">
      <alignment horizontal="center" vertical="center"/>
    </xf>
    <xf numFmtId="0" fontId="74"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5" fillId="0" borderId="65" xfId="0" applyFont="1" applyBorder="1"/>
    <xf numFmtId="49" fontId="75" fillId="0" borderId="65" xfId="0" applyNumberFormat="1" applyFont="1" applyBorder="1"/>
    <xf numFmtId="0" fontId="75"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2"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6" fillId="0" borderId="0" xfId="0" applyFont="1" applyAlignment="1">
      <alignment horizontal="left" vertical="center"/>
    </xf>
    <xf numFmtId="0" fontId="0" fillId="23"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7" fillId="0" borderId="0" xfId="0" applyFont="1" applyAlignment="1">
      <alignment horizontal="left" vertical="center"/>
    </xf>
    <xf numFmtId="0" fontId="27" fillId="22"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4" borderId="5" xfId="0" applyNumberFormat="1" applyFill="1" applyBorder="1" applyProtection="1">
      <protection locked="0"/>
    </xf>
    <xf numFmtId="1" fontId="16" fillId="24"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2"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1" fillId="0" borderId="18" xfId="0" applyNumberFormat="1" applyFont="1" applyBorder="1" applyAlignment="1" applyProtection="1">
      <alignment horizontal="right"/>
    </xf>
    <xf numFmtId="2" fontId="16" fillId="28"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5" borderId="116" xfId="0" applyFont="1" applyFill="1" applyBorder="1" applyAlignment="1">
      <alignment horizontal="center" vertical="center" wrapText="1"/>
    </xf>
    <xf numFmtId="0" fontId="26" fillId="25" borderId="63" xfId="0" applyFont="1" applyFill="1" applyBorder="1" applyAlignment="1">
      <alignment horizontal="center" vertical="center" wrapText="1"/>
    </xf>
    <xf numFmtId="0" fontId="26" fillId="25" borderId="91" xfId="0" applyFont="1" applyFill="1" applyBorder="1" applyAlignment="1">
      <alignment horizontal="center" vertical="center" wrapText="1"/>
    </xf>
    <xf numFmtId="0" fontId="26" fillId="25" borderId="112" xfId="0" applyFont="1" applyFill="1" applyBorder="1" applyAlignment="1">
      <alignment horizontal="center" vertical="center" wrapText="1"/>
    </xf>
    <xf numFmtId="0" fontId="26" fillId="25" borderId="85" xfId="0" applyFont="1" applyFill="1" applyBorder="1" applyAlignment="1">
      <alignment horizontal="center" vertical="center" wrapText="1"/>
    </xf>
    <xf numFmtId="0" fontId="26" fillId="25"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5" borderId="115" xfId="0" applyFont="1" applyFill="1" applyBorder="1" applyAlignment="1">
      <alignment horizontal="center" vertical="center" wrapText="1"/>
    </xf>
    <xf numFmtId="0" fontId="26" fillId="25" borderId="90" xfId="0" applyFont="1" applyFill="1" applyBorder="1" applyAlignment="1">
      <alignment horizontal="center" vertical="center" wrapText="1"/>
    </xf>
    <xf numFmtId="0" fontId="26" fillId="25"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9" fillId="0" borderId="25" xfId="0" applyFont="1" applyFill="1" applyBorder="1" applyAlignment="1">
      <alignment horizontal="center" vertical="center"/>
    </xf>
    <xf numFmtId="0" fontId="79" fillId="0" borderId="26" xfId="0" applyFont="1" applyFill="1" applyBorder="1" applyAlignment="1">
      <alignment horizontal="center" vertical="center"/>
    </xf>
    <xf numFmtId="0" fontId="79" fillId="0" borderId="1" xfId="0" applyFont="1" applyFill="1" applyBorder="1" applyAlignment="1">
      <alignment horizontal="center" vertical="center"/>
    </xf>
    <xf numFmtId="0" fontId="79" fillId="0" borderId="28" xfId="0" applyFont="1" applyFill="1" applyBorder="1" applyAlignment="1">
      <alignment horizontal="center" vertical="center"/>
    </xf>
    <xf numFmtId="0" fontId="79" fillId="0" borderId="3" xfId="0" applyFont="1" applyFill="1" applyBorder="1" applyAlignment="1">
      <alignment horizontal="center" vertical="center"/>
    </xf>
    <xf numFmtId="0" fontId="79" fillId="0" borderId="4" xfId="0" applyFont="1" applyFill="1" applyBorder="1" applyAlignment="1">
      <alignment horizontal="center" vertical="center"/>
    </xf>
    <xf numFmtId="0" fontId="75" fillId="10" borderId="22" xfId="0" applyFont="1" applyFill="1" applyBorder="1" applyAlignment="1">
      <alignment horizontal="center"/>
    </xf>
    <xf numFmtId="0" fontId="75" fillId="10" borderId="23" xfId="0" applyFont="1" applyFill="1" applyBorder="1" applyAlignment="1">
      <alignment horizontal="center"/>
    </xf>
    <xf numFmtId="0" fontId="75"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9" fillId="0" borderId="25" xfId="0" applyFont="1" applyBorder="1" applyAlignment="1">
      <alignment horizontal="center" vertical="center"/>
    </xf>
    <xf numFmtId="0" fontId="79" fillId="0" borderId="26" xfId="0" applyFont="1" applyBorder="1" applyAlignment="1">
      <alignment horizontal="center" vertical="center"/>
    </xf>
    <xf numFmtId="0" fontId="79" fillId="0" borderId="1" xfId="0" applyFont="1" applyBorder="1" applyAlignment="1">
      <alignment horizontal="center" vertical="center"/>
    </xf>
    <xf numFmtId="0" fontId="79" fillId="0" borderId="28" xfId="0" applyFont="1" applyBorder="1" applyAlignment="1">
      <alignment horizontal="center" vertical="center"/>
    </xf>
    <xf numFmtId="0" fontId="79" fillId="0" borderId="3" xfId="0" applyFont="1" applyBorder="1" applyAlignment="1">
      <alignment horizontal="center" vertical="center"/>
    </xf>
    <xf numFmtId="0" fontId="79"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3" fillId="30" borderId="94" xfId="0" applyFont="1" applyFill="1" applyBorder="1" applyAlignment="1">
      <alignment horizontal="center" vertical="center" wrapText="1"/>
    </xf>
    <xf numFmtId="0" fontId="83" fillId="30" borderId="86" xfId="0" applyFont="1" applyFill="1" applyBorder="1" applyAlignment="1">
      <alignment horizontal="center" vertical="center" wrapText="1"/>
    </xf>
    <xf numFmtId="0" fontId="83" fillId="30"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9" borderId="94" xfId="0" applyFont="1" applyFill="1" applyBorder="1" applyAlignment="1">
      <alignment horizontal="center" vertical="center" wrapText="1"/>
    </xf>
    <xf numFmtId="0" fontId="26" fillId="29" borderId="86" xfId="0" applyFont="1" applyFill="1" applyBorder="1" applyAlignment="1">
      <alignment horizontal="center" vertical="center" wrapText="1"/>
    </xf>
    <xf numFmtId="0" fontId="26" fillId="29"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7" borderId="112" xfId="12" applyNumberFormat="1" applyFont="1" applyFill="1" applyBorder="1" applyAlignment="1">
      <alignment horizontal="center" vertical="center" wrapText="1"/>
    </xf>
    <xf numFmtId="168" fontId="26" fillId="27" borderId="85" xfId="12" applyNumberFormat="1" applyFont="1" applyFill="1" applyBorder="1" applyAlignment="1">
      <alignment horizontal="center" vertical="center" wrapText="1"/>
    </xf>
    <xf numFmtId="168" fontId="26" fillId="27" borderId="92" xfId="12" applyNumberFormat="1" applyFont="1" applyFill="1" applyBorder="1" applyAlignment="1">
      <alignment horizontal="center" vertical="center" wrapText="1"/>
    </xf>
    <xf numFmtId="0" fontId="26" fillId="27" borderId="94" xfId="0" applyFont="1" applyFill="1" applyBorder="1" applyAlignment="1">
      <alignment horizontal="center" vertical="center" wrapText="1"/>
    </xf>
    <xf numFmtId="0" fontId="26" fillId="27" borderId="86" xfId="0" applyFont="1" applyFill="1" applyBorder="1" applyAlignment="1">
      <alignment horizontal="center" vertical="center" wrapText="1"/>
    </xf>
    <xf numFmtId="0" fontId="26" fillId="27"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6" borderId="94" xfId="0" applyNumberFormat="1" applyFont="1" applyFill="1" applyBorder="1" applyAlignment="1">
      <alignment horizontal="center" vertical="center" wrapText="1"/>
    </xf>
    <xf numFmtId="1" fontId="26" fillId="26" borderId="86" xfId="0" applyNumberFormat="1" applyFont="1" applyFill="1" applyBorder="1" applyAlignment="1">
      <alignment horizontal="center" vertical="center" wrapText="1"/>
    </xf>
    <xf numFmtId="1" fontId="26" fillId="26"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6" fillId="2" borderId="68" xfId="0" applyFont="1" applyFill="1" applyBorder="1" applyAlignment="1">
      <alignment horizontal="center" vertical="center"/>
    </xf>
    <xf numFmtId="0" fontId="76"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7" fillId="2" borderId="68" xfId="0" applyFont="1" applyFill="1" applyBorder="1" applyAlignment="1">
      <alignment horizontal="center" vertical="center"/>
    </xf>
    <xf numFmtId="0" fontId="67"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80" fillId="0" borderId="68" xfId="15" applyFont="1" applyFill="1" applyBorder="1" applyAlignment="1">
      <alignment horizontal="center" vertical="center" wrapText="1"/>
    </xf>
    <xf numFmtId="9" fontId="80" fillId="0" borderId="69" xfId="15" applyFont="1" applyFill="1" applyBorder="1" applyAlignment="1">
      <alignment horizontal="center" vertical="center"/>
    </xf>
    <xf numFmtId="0" fontId="80" fillId="0" borderId="22" xfId="0" applyFont="1" applyFill="1" applyBorder="1" applyAlignment="1">
      <alignment horizontal="center" vertical="center"/>
    </xf>
    <xf numFmtId="0" fontId="80" fillId="0" borderId="23" xfId="0" applyFont="1" applyFill="1" applyBorder="1" applyAlignment="1">
      <alignment horizontal="center" vertical="center"/>
    </xf>
    <xf numFmtId="0" fontId="80" fillId="0" borderId="24" xfId="0" applyFont="1" applyFill="1" applyBorder="1" applyAlignment="1">
      <alignment horizontal="center" vertical="center"/>
    </xf>
    <xf numFmtId="0" fontId="80" fillId="0" borderId="68" xfId="0" applyFont="1" applyFill="1" applyBorder="1" applyAlignment="1">
      <alignment horizontal="center" vertical="center"/>
    </xf>
    <xf numFmtId="0" fontId="80" fillId="0" borderId="69" xfId="0" applyFont="1" applyFill="1" applyBorder="1" applyAlignment="1">
      <alignment horizontal="center" vertical="center"/>
    </xf>
    <xf numFmtId="0" fontId="80"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5" borderId="93" xfId="0" applyFont="1" applyFill="1" applyBorder="1" applyAlignment="1">
      <alignment horizontal="center" vertical="center" wrapText="1"/>
    </xf>
    <xf numFmtId="0" fontId="24" fillId="25" borderId="84" xfId="0" applyFont="1" applyFill="1" applyBorder="1" applyAlignment="1">
      <alignment horizontal="center" vertical="center" wrapText="1"/>
    </xf>
    <xf numFmtId="0" fontId="24" fillId="25" borderId="87" xfId="0" applyFont="1" applyFill="1" applyBorder="1" applyAlignment="1">
      <alignment horizontal="center" vertical="center" wrapText="1"/>
    </xf>
    <xf numFmtId="166" fontId="24" fillId="25" borderId="112" xfId="0" applyNumberFormat="1" applyFont="1" applyFill="1" applyBorder="1" applyAlignment="1">
      <alignment horizontal="center" vertical="center" wrapText="1"/>
    </xf>
    <xf numFmtId="166" fontId="24" fillId="25" borderId="85" xfId="0" applyNumberFormat="1" applyFont="1" applyFill="1" applyBorder="1" applyAlignment="1">
      <alignment horizontal="center" vertical="center" wrapText="1"/>
    </xf>
    <xf numFmtId="166" fontId="24" fillId="25"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781">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251</v>
      </c>
    </row>
    <row r="3" spans="1:19" ht="23.25" thickBot="1">
      <c r="A3" s="1347" t="s">
        <v>112</v>
      </c>
      <c r="B3" s="1348"/>
      <c r="C3" s="1348"/>
      <c r="D3" s="1349"/>
      <c r="E3" s="376"/>
      <c r="F3" s="2"/>
      <c r="Q3" s="356">
        <v>1</v>
      </c>
      <c r="R3" s="356">
        <v>3</v>
      </c>
      <c r="S3" t="b">
        <f>AND(Q3&gt;=TrimIni,Q3&lt;=TrimFin)</f>
        <v>1</v>
      </c>
    </row>
    <row r="4" spans="1:19" ht="22.5" customHeight="1" thickBot="1">
      <c r="A4" s="377" t="s">
        <v>972</v>
      </c>
      <c r="B4" s="376"/>
      <c r="C4" s="376"/>
      <c r="D4" s="376"/>
      <c r="E4" s="376"/>
      <c r="F4" s="2"/>
      <c r="Q4" s="356">
        <v>2</v>
      </c>
      <c r="R4" s="356">
        <v>3</v>
      </c>
      <c r="S4" t="b">
        <f>AND(Q4&gt;=TrimIni,Q4&lt;=TrimFin)</f>
        <v>0</v>
      </c>
    </row>
    <row r="5" spans="1:19" ht="15.75" thickBot="1">
      <c r="A5" s="378" t="s">
        <v>38</v>
      </c>
      <c r="B5" s="379">
        <v>2023</v>
      </c>
      <c r="C5" s="380" t="s">
        <v>238</v>
      </c>
      <c r="D5" s="381">
        <v>1</v>
      </c>
      <c r="E5" s="382"/>
      <c r="F5" s="3"/>
      <c r="H5" t="s">
        <v>466</v>
      </c>
      <c r="Q5" s="356">
        <v>3</v>
      </c>
      <c r="R5" s="356">
        <v>2</v>
      </c>
      <c r="S5" t="b">
        <f>AND(Q5&gt;=TrimIni,Q5&lt;=TrimFin)</f>
        <v>0</v>
      </c>
    </row>
    <row r="6" spans="1:19" ht="15">
      <c r="A6" s="383"/>
      <c r="B6" s="382"/>
      <c r="C6" s="380" t="s">
        <v>239</v>
      </c>
      <c r="D6" s="381">
        <v>1</v>
      </c>
      <c r="E6" s="382"/>
      <c r="F6" s="3"/>
      <c r="Q6" s="356">
        <v>4</v>
      </c>
      <c r="R6" s="356">
        <v>3</v>
      </c>
      <c r="S6" t="b">
        <f>AND(Q6&gt;=TrimIni,Q6&lt;=TrimFin)</f>
        <v>0</v>
      </c>
    </row>
    <row r="7" spans="1:19" ht="13.5" thickBot="1">
      <c r="A7" s="384"/>
      <c r="B7" s="385"/>
      <c r="C7" s="382"/>
      <c r="D7" s="382"/>
      <c r="E7" s="382"/>
      <c r="F7" s="3"/>
      <c r="Q7" s="356"/>
      <c r="R7" s="356"/>
    </row>
    <row r="8" spans="1:19" ht="22.5">
      <c r="A8" s="490"/>
      <c r="B8" s="386"/>
      <c r="C8" s="387"/>
      <c r="D8" s="388"/>
      <c r="E8" s="389"/>
      <c r="F8" s="3"/>
      <c r="Q8" s="356"/>
      <c r="R8" s="357">
        <f>11/SUMIF(S3:S6,TRUE,R3:R6)</f>
        <v>3.6666666666666665</v>
      </c>
    </row>
    <row r="9" spans="1:19">
      <c r="A9" s="390" t="s">
        <v>973</v>
      </c>
      <c r="B9" s="385" t="s">
        <v>974</v>
      </c>
      <c r="C9" s="382"/>
      <c r="D9" s="382"/>
      <c r="E9" s="391"/>
      <c r="F9" s="3"/>
    </row>
    <row r="10" spans="1:19">
      <c r="A10" s="390" t="s">
        <v>975</v>
      </c>
      <c r="B10" s="382" t="s">
        <v>976</v>
      </c>
      <c r="C10" s="382"/>
      <c r="D10" s="382"/>
      <c r="E10" s="391"/>
      <c r="F10" s="3"/>
      <c r="Q10" s="356">
        <v>0</v>
      </c>
    </row>
    <row r="11" spans="1:19" ht="13.5" thickBot="1">
      <c r="A11" s="392" t="s">
        <v>977</v>
      </c>
      <c r="B11" s="393" t="s">
        <v>978</v>
      </c>
      <c r="C11" s="393"/>
      <c r="D11" s="393"/>
      <c r="E11" s="394"/>
      <c r="F11" s="3"/>
    </row>
    <row r="12" spans="1:19" ht="40.5" customHeight="1" thickBot="1">
      <c r="A12" s="384"/>
      <c r="B12" s="382"/>
      <c r="C12" s="382"/>
      <c r="D12" s="382"/>
      <c r="E12" s="382"/>
      <c r="F12" s="3"/>
      <c r="Q12" s="1267"/>
    </row>
    <row r="13" spans="1:19" ht="15">
      <c r="A13" s="395" t="s">
        <v>137</v>
      </c>
      <c r="B13" s="396" t="s">
        <v>58</v>
      </c>
      <c r="C13" s="937" t="s">
        <v>795</v>
      </c>
      <c r="D13" s="382" t="s">
        <v>58</v>
      </c>
      <c r="E13" s="382"/>
      <c r="F13" s="3"/>
    </row>
    <row r="14" spans="1:19" ht="15">
      <c r="A14" s="397" t="s">
        <v>93</v>
      </c>
      <c r="B14" s="398" t="s">
        <v>140</v>
      </c>
      <c r="C14" s="382"/>
      <c r="D14" s="382"/>
      <c r="E14" s="382"/>
      <c r="F14" s="3"/>
    </row>
    <row r="15" spans="1:19" ht="13.5" thickBot="1">
      <c r="A15" s="266"/>
      <c r="B15" s="4"/>
      <c r="C15" s="4"/>
      <c r="D15" s="4"/>
      <c r="E15" s="4"/>
      <c r="F15" s="5"/>
    </row>
    <row r="16" spans="1:19" ht="23.25">
      <c r="A16" s="70"/>
    </row>
  </sheetData>
  <sheetProtection algorithmName="SHA-512" hashValue="ciYasuwHIHZxz+i1DglqGYF2kTObuhM9Hc6B5O9KkSvaqanTHO+sTPLYJT5eCjjAIdD6BCovSf4cn0ODthoYig==" saltValue="Wjp0Ear23YSOPXebDb22W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41"/>
  <sheetViews>
    <sheetView zoomScale="82" zoomScaleNormal="82" workbookViewId="0">
      <selection activeCell="W7" sqref="W7"/>
    </sheetView>
  </sheetViews>
  <sheetFormatPr baseColWidth="10" defaultColWidth="11.42578125" defaultRowHeight="12.75"/>
  <cols>
    <col min="1" max="1" width="9.42578125" style="1185" customWidth="1"/>
    <col min="2" max="2" width="41.42578125" style="489" customWidth="1"/>
    <col min="3" max="3" width="18.85546875" style="1184" hidden="1" customWidth="1"/>
    <col min="4" max="4" width="13.5703125" style="1184" hidden="1" customWidth="1"/>
    <col min="5" max="5" width="13.42578125" style="1184" hidden="1" customWidth="1"/>
    <col min="6" max="7" width="12" style="1184" hidden="1" customWidth="1"/>
    <col min="8" max="8" width="12.5703125" style="1184" hidden="1" customWidth="1"/>
    <col min="9" max="9" width="13.42578125" style="1184" hidden="1" customWidth="1"/>
    <col min="10" max="10" width="13" style="1184" hidden="1" customWidth="1"/>
    <col min="11" max="13" width="14.5703125" style="1184" hidden="1" customWidth="1"/>
    <col min="14" max="15" width="14.28515625" style="1184" customWidth="1"/>
    <col min="16" max="16" width="12.28515625" style="1184" hidden="1" customWidth="1"/>
    <col min="17" max="17" width="14.28515625" style="1184" customWidth="1"/>
    <col min="18" max="18" width="0" style="1184" hidden="1" customWidth="1"/>
    <col min="19" max="23" width="14.28515625" style="1184" customWidth="1"/>
    <col min="24" max="24" width="12.7109375" style="1184" customWidth="1"/>
    <col min="25" max="25" width="13" style="1184" customWidth="1"/>
    <col min="26" max="27" width="12.5703125" style="1184" customWidth="1"/>
    <col min="28" max="28" width="12.7109375" style="1184" customWidth="1"/>
    <col min="29" max="30" width="13" style="1184" customWidth="1"/>
    <col min="31" max="31" width="11.42578125" style="1184" hidden="1" customWidth="1"/>
    <col min="32" max="16384" width="11.42578125" style="1184"/>
  </cols>
  <sheetData>
    <row r="1" spans="1:31" ht="108" customHeight="1">
      <c r="A1" s="1184"/>
    </row>
    <row r="2" spans="1:31">
      <c r="B2" s="534"/>
      <c r="E2" s="1186"/>
    </row>
    <row r="3" spans="1:31" s="489" customFormat="1" ht="13.5" thickBot="1">
      <c r="A3" s="520"/>
      <c r="B3" s="521" t="s">
        <v>395</v>
      </c>
      <c r="E3" s="534"/>
    </row>
    <row r="4" spans="1:31" s="489" customFormat="1" ht="15.75" thickBot="1">
      <c r="A4" s="1246" t="s">
        <v>400</v>
      </c>
      <c r="B4" s="1257" t="str">
        <f>Criterios!B9</f>
        <v>ANDALUCIA</v>
      </c>
      <c r="C4" s="1247"/>
      <c r="D4" s="1247"/>
      <c r="E4" s="1248"/>
      <c r="F4" s="1247"/>
      <c r="G4" s="591"/>
      <c r="H4" s="1510" t="s">
        <v>401</v>
      </c>
      <c r="I4" s="1511"/>
      <c r="J4" s="1511"/>
      <c r="K4" s="1511"/>
      <c r="L4" s="1511"/>
      <c r="M4" s="1249"/>
      <c r="N4" s="1510" t="s">
        <v>402</v>
      </c>
      <c r="O4" s="1511"/>
      <c r="P4" s="1511"/>
      <c r="Q4" s="1511"/>
      <c r="R4" s="1511"/>
      <c r="S4" s="1511"/>
      <c r="T4" s="1511"/>
      <c r="U4" s="1511"/>
      <c r="V4" s="1511"/>
      <c r="W4" s="1511"/>
      <c r="X4" s="1511"/>
      <c r="Y4" s="1511"/>
      <c r="Z4" s="1511"/>
      <c r="AA4" s="1511"/>
      <c r="AB4" s="1511"/>
      <c r="AC4" s="1511"/>
      <c r="AD4" s="1512"/>
    </row>
    <row r="5" spans="1:31" s="489" customFormat="1" ht="15.75" customHeight="1">
      <c r="A5" s="1494" t="s">
        <v>391</v>
      </c>
      <c r="B5" s="1496" t="str">
        <f>"Año:  " &amp;Criterios!B5 &amp; "      Trimestre   " &amp;Criterios!D5 &amp; " al " &amp;Criterios!D6</f>
        <v>Año:  2023      Trimestre   1 al 1</v>
      </c>
      <c r="C5" s="1484" t="s">
        <v>288</v>
      </c>
      <c r="D5" s="1486" t="s">
        <v>141</v>
      </c>
      <c r="E5" s="1486" t="s">
        <v>95</v>
      </c>
      <c r="F5" s="1490" t="s">
        <v>9</v>
      </c>
      <c r="G5" s="1489"/>
      <c r="H5" s="1513" t="s">
        <v>396</v>
      </c>
      <c r="I5" s="1492" t="s">
        <v>398</v>
      </c>
      <c r="J5" s="1513" t="s">
        <v>397</v>
      </c>
      <c r="K5" s="1488" t="s">
        <v>332</v>
      </c>
      <c r="L5" s="1488" t="s">
        <v>399</v>
      </c>
      <c r="M5" s="1488" t="s">
        <v>393</v>
      </c>
      <c r="N5" s="1500"/>
      <c r="O5" s="1501"/>
      <c r="P5" s="532"/>
      <c r="Q5" s="1504" t="s">
        <v>504</v>
      </c>
      <c r="R5" s="1505"/>
      <c r="S5" s="1506"/>
      <c r="T5" s="1516"/>
      <c r="U5" s="1517"/>
      <c r="V5" s="1518"/>
      <c r="W5" s="1504" t="s">
        <v>299</v>
      </c>
      <c r="X5" s="1505"/>
      <c r="Y5" s="1505"/>
      <c r="Z5" s="1506"/>
      <c r="AA5" s="1504" t="s">
        <v>499</v>
      </c>
      <c r="AB5" s="1505"/>
      <c r="AC5" s="1505"/>
      <c r="AD5" s="1506"/>
    </row>
    <row r="6" spans="1:31" s="489" customFormat="1" ht="21.75" customHeight="1" thickBot="1">
      <c r="A6" s="1495"/>
      <c r="B6" s="1497"/>
      <c r="C6" s="1485"/>
      <c r="D6" s="1487"/>
      <c r="E6" s="1487"/>
      <c r="F6" s="1491"/>
      <c r="G6" s="1489"/>
      <c r="H6" s="1514"/>
      <c r="I6" s="1493"/>
      <c r="J6" s="1514"/>
      <c r="K6" s="1489"/>
      <c r="L6" s="1489"/>
      <c r="M6" s="1489"/>
      <c r="N6" s="1502"/>
      <c r="O6" s="1503"/>
      <c r="P6" s="1250"/>
      <c r="Q6" s="1507"/>
      <c r="R6" s="1508"/>
      <c r="S6" s="1509"/>
      <c r="T6" s="1519"/>
      <c r="U6" s="1520"/>
      <c r="V6" s="1521"/>
      <c r="W6" s="1507"/>
      <c r="X6" s="1508"/>
      <c r="Y6" s="1508"/>
      <c r="Z6" s="1509"/>
      <c r="AA6" s="1507"/>
      <c r="AB6" s="1508"/>
      <c r="AC6" s="1508"/>
      <c r="AD6" s="1509"/>
    </row>
    <row r="7" spans="1:31" s="489" customFormat="1" ht="84" customHeight="1">
      <c r="A7" s="1495"/>
      <c r="B7" s="1251" t="str">
        <f>Datos!A7</f>
        <v>COMPETENCIAS</v>
      </c>
      <c r="C7" s="1485"/>
      <c r="D7" s="1487"/>
      <c r="E7" s="1487"/>
      <c r="F7" s="1491"/>
      <c r="G7" s="1489"/>
      <c r="H7" s="1514"/>
      <c r="I7" s="1493"/>
      <c r="J7" s="1514"/>
      <c r="K7" s="1489"/>
      <c r="L7" s="1489"/>
      <c r="M7" s="1515"/>
      <c r="N7" s="1252" t="s">
        <v>252</v>
      </c>
      <c r="O7" s="1252" t="s">
        <v>434</v>
      </c>
      <c r="P7" s="1253" t="s">
        <v>435</v>
      </c>
      <c r="Q7" s="1254" t="s">
        <v>436</v>
      </c>
      <c r="R7" s="1253" t="s">
        <v>427</v>
      </c>
      <c r="S7" s="1254" t="s">
        <v>903</v>
      </c>
      <c r="T7" s="1310" t="s">
        <v>904</v>
      </c>
      <c r="U7" s="1310" t="s">
        <v>905</v>
      </c>
      <c r="V7" s="1310" t="s">
        <v>906</v>
      </c>
      <c r="W7" s="1252" t="s">
        <v>500</v>
      </c>
      <c r="X7" s="1328" t="s">
        <v>923</v>
      </c>
      <c r="Y7" s="1328" t="s">
        <v>924</v>
      </c>
      <c r="Z7" s="1329" t="s">
        <v>925</v>
      </c>
      <c r="AA7" s="1255" t="s">
        <v>500</v>
      </c>
      <c r="AB7" s="1326" t="s">
        <v>501</v>
      </c>
      <c r="AC7" s="1326" t="s">
        <v>926</v>
      </c>
      <c r="AD7" s="1327" t="s">
        <v>927</v>
      </c>
      <c r="AE7" s="1256" t="s">
        <v>901</v>
      </c>
    </row>
    <row r="8" spans="1:31" ht="15">
      <c r="A8" s="1498" t="str">
        <f>Datos!A8</f>
        <v>Jurisdicción Civil ( 1 ):</v>
      </c>
      <c r="B8" s="1499"/>
      <c r="C8" s="1192"/>
      <c r="D8" s="1192"/>
      <c r="E8" s="1193"/>
      <c r="F8" s="1193"/>
      <c r="G8" s="1193"/>
      <c r="H8" s="1194"/>
      <c r="I8" s="1192"/>
      <c r="J8" s="1194"/>
      <c r="K8" s="1195"/>
      <c r="L8" s="1195"/>
      <c r="M8" s="271"/>
      <c r="N8" s="1195"/>
      <c r="O8" s="1195"/>
      <c r="P8" s="1196"/>
      <c r="Q8" s="1197"/>
      <c r="R8" s="1196"/>
      <c r="S8" s="1197"/>
      <c r="T8" s="1198"/>
      <c r="U8" s="1198"/>
      <c r="V8" s="1200"/>
      <c r="W8" s="1198"/>
      <c r="X8" s="1199"/>
      <c r="Y8" s="1199"/>
      <c r="Z8" s="1200"/>
      <c r="AA8" s="1201"/>
      <c r="AB8" s="1199"/>
      <c r="AC8" s="1199"/>
      <c r="AD8" s="1199"/>
      <c r="AE8" s="1200"/>
    </row>
    <row r="9" spans="1:31" ht="15">
      <c r="A9" s="1202">
        <f>ABS(Datos!AO9)</f>
        <v>0</v>
      </c>
      <c r="B9" s="1258" t="str">
        <f>Datos!A9</f>
        <v xml:space="preserve">Jdos. 1ª Instancia   </v>
      </c>
      <c r="C9" s="230" t="str">
        <f t="shared" ref="C9:C13" si="0">IF(ISNUMBER(H9-E9+F9),H9-E9+F9," - ")</f>
        <v xml:space="preserve"> - </v>
      </c>
      <c r="D9" s="230" t="str">
        <f>IF(ISNUMBER(IF(J_V="SI",Datos!I9,Datos!I9+Datos!Y9)-IF(Monitorios="SI",Datos!CA9,0)),
                          IF(J_V="SI",Datos!I9,Datos!I9+Datos!Y9)-IF(Monitorios="SI",Datos!CA9,0),
                          " - ")</f>
        <v xml:space="preserve"> - </v>
      </c>
      <c r="E9" s="231" t="str">
        <f>IF(ISNUMBER(IF(J_V="SI",Datos!J9,Datos!J9+Datos!Z9)-IF(Monitorios="SI",Datos!CB9,0)),
                          IF(J_V="SI",Datos!J9,Datos!J9+Datos!Z9)-IF(Monitorios="SI",Datos!CB9,0),
                          " - ")</f>
        <v xml:space="preserve"> - </v>
      </c>
      <c r="F9" s="231" t="str">
        <f>IF(ISNUMBER(IF(J_V="SI",Datos!K9,Datos!K9+Datos!AA9)-IF(Monitorios="SI",Datos!CC9,0)),
                          IF(J_V="SI",Datos!K9,Datos!K9+Datos!AA9)-IF(Monitorios="SI",Datos!CC9,0),
                          " - ")</f>
        <v xml:space="preserve"> - </v>
      </c>
      <c r="G9" s="1193" t="str">
        <f>IF(Datos!E9&lt;&gt;"",Datos!E9,Datos!D9)</f>
        <v>01</v>
      </c>
      <c r="H9" s="232" t="str">
        <f>IF(ISNUMBER(IF(J_V="SI",Datos!L9,Datos!L9+Datos!AB9)-IF(Monitorios="SI",Datos!CD9,0)),
                          IF(J_V="SI",Datos!L9,Datos!L9+Datos!AB9)-IF(Monitorios="SI",Datos!CD9,0),
                          " - ")</f>
        <v xml:space="preserve"> - </v>
      </c>
      <c r="I9" s="1203" t="str">
        <f>IF(ISNUMBER(Datos!AS9/Datos!BM9),Datos!AS9/Datos!BM9," - ")</f>
        <v xml:space="preserve"> - </v>
      </c>
      <c r="J9" s="1204">
        <f>IF(ISNUMBER(Datos!BY9/Datos!CN9),Datos!BY9/Datos!CN9," - ")</f>
        <v>0</v>
      </c>
      <c r="K9" s="235" t="str">
        <f>IF(ISNUMBER((E9-F9)/C9),(E9-F9)/C9," - ")</f>
        <v xml:space="preserve"> - </v>
      </c>
      <c r="L9" s="1205" t="str">
        <f>IF(ISNUMBER(NºAsuntos!I9/NºAsuntos!G9),(NºAsuntos!I9/NºAsuntos!G9)*11," - ")</f>
        <v xml:space="preserve"> - </v>
      </c>
      <c r="M9" s="233" t="str">
        <f>IF(ISNUMBER(Datos!CL9),Datos!CL9," - ")</f>
        <v xml:space="preserve"> - </v>
      </c>
      <c r="N9" s="501">
        <f>Datos!CU9</f>
        <v>0</v>
      </c>
      <c r="O9" s="1194">
        <f>Datos!CT9</f>
        <v>0</v>
      </c>
      <c r="P9" s="1206" t="str">
        <f>IF(ISNUMBER((Datos!AS9/Datos!AQ9)),(Datos!AS9/Datos!AQ9)," - ")</f>
        <v xml:space="preserve"> - </v>
      </c>
      <c r="Q9" s="250">
        <f>IF(ISNUMBER(Datos!CQ9+Datos!CR9),Datos!CQ9+Datos!CR9*0.86," - ")</f>
        <v>0</v>
      </c>
      <c r="R9" s="248" t="str">
        <f>IF(ISNUMBER((P9/Datos!CO9)*factor_trimestre),(P9/Datos!CO9)*factor_trimestre," - ")</f>
        <v xml:space="preserve"> - </v>
      </c>
      <c r="S9" s="361">
        <f>IF(ISNUMBER((Q9/Datos!CP9)*factor_trimestre),(Q9/Datos!CP9)*factor_trimestre," - ")</f>
        <v>0</v>
      </c>
      <c r="T9" s="500">
        <f>Datos!ET9</f>
        <v>0</v>
      </c>
      <c r="U9" s="1317"/>
      <c r="V9" s="1321" t="str">
        <f>IF(U9="",IF(ISNUMBER(IF(ISNUMBER(S9),S9,0)/((Datos!EU9-Datos!ET9)/Datos!EU9)),IF(ISNUMBER(S9),S9,0)/((Datos!EU9-Datos!ET9)/Datos!EU9)," - "),IF(ISNUMBER(IF(ISNUMBER(S9),S9,0)/((Datos!EU9-U9)/Datos!EU9)),IF(ISNUMBER(S9),S9,0)/((Datos!EU9-U9)/Datos!EU9)))</f>
        <v xml:space="preserve"> - </v>
      </c>
      <c r="W9" s="500" t="str">
        <f>IF(ISNUMBER(Datos!CV9),Datos!CV9," - ")</f>
        <v xml:space="preserve"> - </v>
      </c>
      <c r="X9" s="500" t="str">
        <f>IF(ISNUMBER(Datos!DH9),Datos!DH9," - ")</f>
        <v xml:space="preserve"> - </v>
      </c>
      <c r="Y9" s="500" t="str">
        <f>IF(ISNUMBER(Datos!DI9),Datos!DI9," - ")</f>
        <v xml:space="preserve"> - </v>
      </c>
      <c r="Z9" s="345" t="str">
        <f>IF(ISNUMBER(Datos!DJ9),Datos!DJ9," - ")</f>
        <v xml:space="preserve"> - </v>
      </c>
      <c r="AA9" s="516" t="str">
        <f>IF(ISNUMBER(Datos!DG9),Datos!DG9," - ")</f>
        <v xml:space="preserve"> - </v>
      </c>
      <c r="AB9" s="344" t="str">
        <f>IF(ISNUMBER(Datos!CY9),Datos!CY9," - ")</f>
        <v xml:space="preserve"> - </v>
      </c>
      <c r="AC9" s="344" t="str">
        <f>IF(ISNUMBER(Datos!CZ9),Datos!CZ9," - ")</f>
        <v xml:space="preserve"> - </v>
      </c>
      <c r="AD9" s="344" t="str">
        <f>IF(ISNUMBER(Datos!DA9),Datos!DA9," - ")</f>
        <v xml:space="preserve"> - </v>
      </c>
      <c r="AE9" s="1311">
        <v>0</v>
      </c>
    </row>
    <row r="10" spans="1:31" ht="15">
      <c r="A10" s="1202">
        <f>ABS(Datos!AO10)</f>
        <v>1</v>
      </c>
      <c r="B10" s="1258" t="str">
        <f>Datos!A10</f>
        <v>Jdos. Violencia contra la mujer</v>
      </c>
      <c r="C10" s="230">
        <f t="shared" si="0"/>
        <v>1</v>
      </c>
      <c r="D10" s="230">
        <f>IF(ISNUMBER(Datos!I10),Datos!I10," - ")</f>
        <v>1</v>
      </c>
      <c r="E10" s="231">
        <f>IF(ISNUMBER(Datos!J10),Datos!J10," - ")</f>
        <v>2</v>
      </c>
      <c r="F10" s="231">
        <f>IF(ISNUMBER(Datos!K10),Datos!K10," - ")</f>
        <v>1</v>
      </c>
      <c r="G10" s="1193" t="str">
        <f>IF(Datos!E10&lt;&gt;"",Datos!E10,Datos!D10)</f>
        <v>37</v>
      </c>
      <c r="H10" s="232">
        <f>IF(ISNUMBER(Datos!L10),Datos!L10," - ")</f>
        <v>2</v>
      </c>
      <c r="I10" s="1203" t="str">
        <f>IF(ISNUMBER(Datos!AS10/Datos!BM10),Datos!AS10/Datos!BM10," - ")</f>
        <v xml:space="preserve"> - </v>
      </c>
      <c r="J10" s="1204">
        <f>IF(ISNUMBER(Datos!BY10/Datos!CN10),Datos!BY10/Datos!CN10," - ")</f>
        <v>0</v>
      </c>
      <c r="K10" s="235">
        <f t="shared" ref="K10:K13" si="1">IF(ISNUMBER((E10-F10)/C10),(E10-F10)/C10," - ")</f>
        <v>1</v>
      </c>
      <c r="L10" s="1205">
        <f>IF(ISNUMBER(NºAsuntos!I10/NºAsuntos!G10),(NºAsuntos!I10/NºAsuntos!G10)*11," - ")</f>
        <v>22</v>
      </c>
      <c r="M10" s="233" t="str">
        <f>IF(ISNUMBER(Datos!CL10),Datos!CL10," - ")</f>
        <v xml:space="preserve"> - </v>
      </c>
      <c r="N10" s="501">
        <f>Datos!CU10</f>
        <v>0</v>
      </c>
      <c r="O10" s="1194">
        <f>Datos!CT10</f>
        <v>0</v>
      </c>
      <c r="P10" s="1206" t="str">
        <f>IF(ISNUMBER((Datos!AS10/Datos!AQ10)),(Datos!AS10/Datos!AQ10)," - ")</f>
        <v xml:space="preserve"> - </v>
      </c>
      <c r="Q10" s="250" t="str">
        <f>IF(ISNUMBER(Datos!CQ10),Datos!CQ10," - ")</f>
        <v xml:space="preserve"> - </v>
      </c>
      <c r="R10" s="248" t="str">
        <f>IF(ISNUMBER((P10/Datos!CO10)*factor_trimestre),(P10/Datos!CO10)*factor_trimestre," - ")</f>
        <v xml:space="preserve"> - </v>
      </c>
      <c r="S10" s="361" t="str">
        <f>IF(ISNUMBER((Q10/Datos!CP10)*factor_trimestre),(Q10/Datos!CP10)*factor_trimestre," - ")</f>
        <v xml:space="preserve"> - </v>
      </c>
      <c r="T10" s="500">
        <f>Datos!ET10</f>
        <v>0</v>
      </c>
      <c r="U10" s="1317"/>
      <c r="V10" s="1321" t="str">
        <f>IF(U10="",IF(ISNUMBER(IF(ISNUMBER(S10),S10,0)/((Datos!EU10-Datos!ET10)/Datos!EU10)),IF(ISNUMBER(S10),S10,0)/((Datos!EU10-Datos!ET10)/Datos!EU10)," - "),IF(ISNUMBER(IF(ISNUMBER(S10),S10,0)/((Datos!EU10-U10)/Datos!EU10)),IF(ISNUMBER(S10),S10,0)/((Datos!EU10-U10)/Datos!EU10)))</f>
        <v xml:space="preserve"> - </v>
      </c>
      <c r="W10" s="500" t="str">
        <f>IF(ISNUMBER(Datos!CV10),Datos!CV10," - ")</f>
        <v xml:space="preserve"> - </v>
      </c>
      <c r="X10" s="500" t="str">
        <f>IF(ISNUMBER(Datos!DH10),Datos!DH10," - ")</f>
        <v xml:space="preserve"> - </v>
      </c>
      <c r="Y10" s="500" t="str">
        <f>IF(ISNUMBER(Datos!DI10),Datos!DI10," - ")</f>
        <v xml:space="preserve"> - </v>
      </c>
      <c r="Z10" s="345" t="str">
        <f>IF(ISNUMBER(Datos!DJ10),Datos!DJ10," - ")</f>
        <v xml:space="preserve"> - </v>
      </c>
      <c r="AA10" s="516" t="str">
        <f>IF(ISNUMBER(Datos!DG10),Datos!DG10," - ")</f>
        <v xml:space="preserve"> - </v>
      </c>
      <c r="AB10" s="344" t="str">
        <f>IF(ISNUMBER(Datos!CY10),Datos!CY10," - ")</f>
        <v xml:space="preserve"> - </v>
      </c>
      <c r="AC10" s="344" t="str">
        <f>IF(ISNUMBER(Datos!CZ10),Datos!CZ10," - ")</f>
        <v xml:space="preserve"> - </v>
      </c>
      <c r="AD10" s="344" t="str">
        <f>IF(ISNUMBER(Datos!DA10),Datos!DA10," - ")</f>
        <v xml:space="preserve"> - </v>
      </c>
      <c r="AE10" s="1311">
        <v>0</v>
      </c>
    </row>
    <row r="11" spans="1:31" ht="15">
      <c r="A11" s="1202">
        <f>ABS(Datos!AO11)</f>
        <v>0</v>
      </c>
      <c r="B11" s="1258" t="str">
        <f>Datos!A11</f>
        <v xml:space="preserve">Jdos. Familia                                   </v>
      </c>
      <c r="C11" s="230" t="str">
        <f t="shared" si="0"/>
        <v xml:space="preserve"> - </v>
      </c>
      <c r="D11" s="230" t="str">
        <f>IF(ISNUMBER(IF(J_V="SI",Datos!I11,Datos!I11+Datos!Y11)-IF(Monitorios="SI",Datos!CA11,0)),
                          IF(J_V="SI",Datos!I11,Datos!I11+Datos!Y11)-IF(Monitorios="SI",Datos!CA11,0),
                          " - ")</f>
        <v xml:space="preserve"> - </v>
      </c>
      <c r="E11" s="231" t="str">
        <f>IF(ISNUMBER(IF(J_V="SI",Datos!J11,Datos!J11+Datos!Z11)-IF(Monitorios="SI",Datos!CB11,0)),
                          IF(J_V="SI",Datos!J11,Datos!J11+Datos!Z11)-IF(Monitorios="SI",Datos!CB11,0),
                          " - ")</f>
        <v xml:space="preserve"> - </v>
      </c>
      <c r="F11" s="231" t="str">
        <f>IF(ISNUMBER(IF(J_V="SI",Datos!K11,Datos!K11+Datos!AA11)-IF(Monitorios="SI",Datos!CC11,0)),
                          IF(J_V="SI",Datos!K11,Datos!K11+Datos!AA11)-IF(Monitorios="SI",Datos!CC11,0),
                          " - ")</f>
        <v xml:space="preserve"> - </v>
      </c>
      <c r="G11" s="1193" t="str">
        <f>IF(Datos!E11&lt;&gt;"",Datos!E11,Datos!D11)</f>
        <v>02</v>
      </c>
      <c r="H11" s="232" t="str">
        <f>IF(ISNUMBER(IF(J_V="SI",Datos!L11,Datos!L11+Datos!AB11)-IF(Monitorios="SI",Datos!CD11,0)),
                          IF(J_V="SI",Datos!L11,Datos!L11+Datos!AB11)-IF(Monitorios="SI",Datos!CD11,0),
                          " - ")</f>
        <v xml:space="preserve"> - </v>
      </c>
      <c r="I11" s="1203" t="str">
        <f>IF(ISNUMBER(Datos!AS11/Datos!BM11),Datos!AS11/Datos!BM11," - ")</f>
        <v xml:space="preserve"> - </v>
      </c>
      <c r="J11" s="1204">
        <f>IF(ISNUMBER(Datos!BY11/Datos!CN11),Datos!BY11/Datos!CN11," - ")</f>
        <v>0</v>
      </c>
      <c r="K11" s="235" t="str">
        <f t="shared" si="1"/>
        <v xml:space="preserve"> - </v>
      </c>
      <c r="L11" s="1205" t="str">
        <f>IF(ISNUMBER(NºAsuntos!I11/NºAsuntos!G11),(NºAsuntos!I11/NºAsuntos!G11)*11," - ")</f>
        <v xml:space="preserve"> - </v>
      </c>
      <c r="M11" s="233" t="str">
        <f>IF(ISNUMBER(Datos!CL11),Datos!CL11," - ")</f>
        <v xml:space="preserve"> - </v>
      </c>
      <c r="N11" s="501">
        <f>Datos!CU11</f>
        <v>0</v>
      </c>
      <c r="O11" s="1194">
        <f>Datos!CT11</f>
        <v>0</v>
      </c>
      <c r="P11" s="1206" t="str">
        <f>IF(ISNUMBER((Datos!AS11/Datos!AQ11)),(Datos!AS11/Datos!AQ11)," - ")</f>
        <v xml:space="preserve"> - </v>
      </c>
      <c r="Q11" s="250">
        <f>IF(ISNUMBER(Datos!CQ11+Datos!CR11),Datos!CQ11+Datos!CR11," - ")</f>
        <v>0</v>
      </c>
      <c r="R11" s="248" t="str">
        <f>IF(ISNUMBER((P11/Datos!CO11)*factor_trimestre),(P11/Datos!CO11)*factor_trimestre," - ")</f>
        <v xml:space="preserve"> - </v>
      </c>
      <c r="S11" s="361">
        <f>IF(ISNUMBER((Q11/Datos!CP11)*factor_trimestre),(Q11/Datos!CP11)*factor_trimestre," - ")</f>
        <v>0</v>
      </c>
      <c r="T11" s="500">
        <f>Datos!ET11</f>
        <v>0</v>
      </c>
      <c r="U11" s="1317"/>
      <c r="V11" s="1321" t="str">
        <f>IF(U11="",IF(ISNUMBER(IF(ISNUMBER(S11),S11,0)/((Datos!EU11-Datos!ET11)/Datos!EU11)),IF(ISNUMBER(S11),S11,0)/((Datos!EU11-Datos!ET11)/Datos!EU11)," - "),IF(ISNUMBER(IF(ISNUMBER(S11),S11,0)/((Datos!EU11-U11)/Datos!EU11)),IF(ISNUMBER(S11),S11,0)/((Datos!EU11-U11)/Datos!EU11)))</f>
        <v xml:space="preserve"> - </v>
      </c>
      <c r="W11" s="500" t="str">
        <f>IF(ISNUMBER(Datos!CV11),Datos!CV11," - ")</f>
        <v xml:space="preserve"> - </v>
      </c>
      <c r="X11" s="500" t="str">
        <f>IF(ISNUMBER(Datos!DH11),Datos!DH11," - ")</f>
        <v xml:space="preserve"> - </v>
      </c>
      <c r="Y11" s="500" t="str">
        <f>IF(ISNUMBER(Datos!DI11),Datos!DI11," - ")</f>
        <v xml:space="preserve"> - </v>
      </c>
      <c r="Z11" s="345" t="str">
        <f>IF(ISNUMBER(Datos!DJ11),Datos!DJ11," - ")</f>
        <v xml:space="preserve"> - </v>
      </c>
      <c r="AA11" s="516" t="str">
        <f>IF(ISNUMBER(Datos!DG11),Datos!DG11," - ")</f>
        <v xml:space="preserve"> - </v>
      </c>
      <c r="AB11" s="344" t="str">
        <f>IF(ISNUMBER(Datos!CY11),Datos!CY11," - ")</f>
        <v xml:space="preserve"> - </v>
      </c>
      <c r="AC11" s="344" t="str">
        <f>IF(ISNUMBER(Datos!CZ11),Datos!CZ11," - ")</f>
        <v xml:space="preserve"> - </v>
      </c>
      <c r="AD11" s="344" t="str">
        <f>IF(ISNUMBER(Datos!DA11),Datos!DA11," - ")</f>
        <v xml:space="preserve"> - </v>
      </c>
      <c r="AE11" s="1311">
        <v>0</v>
      </c>
    </row>
    <row r="12" spans="1:31" ht="15">
      <c r="A12" s="1202">
        <f>ABS(Datos!AO12)</f>
        <v>2</v>
      </c>
      <c r="B12" s="1258" t="str">
        <f>Datos!A12</f>
        <v xml:space="preserve">Jdos. 1ª Instª. e Instr.                        </v>
      </c>
      <c r="C12" s="230" t="str">
        <f t="shared" si="0"/>
        <v xml:space="preserve"> - </v>
      </c>
      <c r="D12" s="230" t="str">
        <f>IF(ISNUMBER(IF(J_V="SI",Datos!I12,Datos!I12+Datos!Y12)-IF(Monitorios="SI",Datos!CA12,0)),
                          IF(J_V="SI",Datos!I12,Datos!I12+Datos!Y12)-IF(Monitorios="SI",Datos!CA12,0),
                          " - ")</f>
        <v xml:space="preserve"> - </v>
      </c>
      <c r="E12" s="231" t="str">
        <f>IF(ISNUMBER(IF(J_V="SI",Datos!J12,Datos!J12+Datos!Z12)-IF(Monitorios="SI",Datos!CB12,0)),
                          IF(J_V="SI",Datos!J12,Datos!J12+Datos!Z12)-IF(Monitorios="SI",Datos!CB12,0),
                          " - ")</f>
        <v xml:space="preserve"> - </v>
      </c>
      <c r="F12" s="231" t="str">
        <f>IF(ISNUMBER(IF(J_V="SI",Datos!K12,Datos!K12+Datos!AA12)-IF(Monitorios="SI",Datos!CC12,0)),
                          IF(J_V="SI",Datos!K12,Datos!K12+Datos!AA12)-IF(Monitorios="SI",Datos!CC12,0),
                          " - ")</f>
        <v xml:space="preserve"> - </v>
      </c>
      <c r="G12" s="1193" t="str">
        <f>IF(Datos!E12&lt;&gt;"",Datos!E12,Datos!D12)</f>
        <v>04</v>
      </c>
      <c r="H12" s="232" t="str">
        <f>IF(ISNUMBER(IF(J_V="SI",Datos!L12,Datos!L12+Datos!AB12)-IF(Monitorios="SI",Datos!CD12,0)),
                          IF(J_V="SI",Datos!L12,Datos!L12+Datos!AB12)-IF(Monitorios="SI",Datos!CD12,0),
                          " - ")</f>
        <v xml:space="preserve"> - </v>
      </c>
      <c r="I12" s="1203" t="str">
        <f>IF(ISNUMBER(Datos!AS12/Datos!BM12),Datos!AS12/Datos!BM12," - ")</f>
        <v xml:space="preserve"> - </v>
      </c>
      <c r="J12" s="1204">
        <f>IF(ISNUMBER(Datos!BY12/Datos!CN12),Datos!BY12/Datos!CN12," - ")</f>
        <v>0</v>
      </c>
      <c r="K12" s="235" t="str">
        <f t="shared" si="1"/>
        <v xml:space="preserve"> - </v>
      </c>
      <c r="L12" s="1205">
        <f>IF(ISNUMBER(NºAsuntos!I12/NºAsuntos!G12),(NºAsuntos!I12/NºAsuntos!G12)*11," - ")</f>
        <v>37.69426751592357</v>
      </c>
      <c r="M12" s="233" t="str">
        <f>IF(ISNUMBER(Datos!CL12),Datos!CL12," - ")</f>
        <v xml:space="preserve"> - </v>
      </c>
      <c r="N12" s="501">
        <f>Datos!CU12</f>
        <v>0</v>
      </c>
      <c r="O12" s="1194">
        <f>Datos!CT12</f>
        <v>0</v>
      </c>
      <c r="P12" s="1206" t="str">
        <f>IF(ISNUMBER((Datos!AS12/Datos!AQ12)),(Datos!AS12/Datos!AQ12)," - ")</f>
        <v xml:space="preserve"> - </v>
      </c>
      <c r="Q12" s="250" t="str">
        <f>IF(ISNUMBER(Datos!CQ12),Datos!CQ12," - ")</f>
        <v xml:space="preserve"> - </v>
      </c>
      <c r="R12" s="248" t="str">
        <f>IF(ISNUMBER((P12/Datos!CO12)*factor_trimestre),(P12/Datos!CO12)*factor_trimestre," - ")</f>
        <v xml:space="preserve"> - </v>
      </c>
      <c r="S12" s="361" t="str">
        <f>IF(ISNUMBER((Q12/Datos!CP12)*factor_trimestre),(Q12/Datos!CP12)*factor_trimestre," - ")</f>
        <v xml:space="preserve"> - </v>
      </c>
      <c r="T12" s="500">
        <f>Datos!ET12</f>
        <v>0</v>
      </c>
      <c r="U12" s="1317"/>
      <c r="V12" s="1321" t="str">
        <f>IF(U12="",IF(ISNUMBER(IF(ISNUMBER(S12),S12,0)/((Datos!EU12-Datos!ET12)/Datos!EU12)),IF(ISNUMBER(S12),S12,0)/((Datos!EU12-Datos!ET12)/Datos!EU12)," - "),IF(ISNUMBER(IF(ISNUMBER(S12),S12,0)/((Datos!EU12-U12)/Datos!EU12)),IF(ISNUMBER(S12),S12,0)/((Datos!EU12-U12)/Datos!EU12)))</f>
        <v xml:space="preserve"> - </v>
      </c>
      <c r="W12" s="500" t="str">
        <f>IF(ISNUMBER(Datos!CV12),Datos!CV12," - ")</f>
        <v xml:space="preserve"> - </v>
      </c>
      <c r="X12" s="500" t="str">
        <f>IF(ISNUMBER(Datos!DH12),Datos!DH12," - ")</f>
        <v xml:space="preserve"> - </v>
      </c>
      <c r="Y12" s="500" t="str">
        <f>IF(ISNUMBER(Datos!DI12),Datos!DI12," - ")</f>
        <v xml:space="preserve"> - </v>
      </c>
      <c r="Z12" s="345" t="str">
        <f>IF(ISNUMBER(Datos!DJ12),Datos!DJ12," - ")</f>
        <v xml:space="preserve"> - </v>
      </c>
      <c r="AA12" s="516" t="str">
        <f>IF(ISNUMBER(Datos!DG12),Datos!DG12," - ")</f>
        <v xml:space="preserve"> - </v>
      </c>
      <c r="AB12" s="344" t="str">
        <f>IF(ISNUMBER(Datos!CY12),Datos!CY12," - ")</f>
        <v xml:space="preserve"> - </v>
      </c>
      <c r="AC12" s="344" t="str">
        <f>IF(ISNUMBER(Datos!CZ12),Datos!CZ12," - ")</f>
        <v xml:space="preserve"> - </v>
      </c>
      <c r="AD12" s="344" t="str">
        <f>IF(ISNUMBER(Datos!DA12),Datos!DA12," - ")</f>
        <v xml:space="preserve"> - </v>
      </c>
      <c r="AE12" s="1311">
        <v>0</v>
      </c>
    </row>
    <row r="13" spans="1:31" ht="15">
      <c r="A13" s="1202">
        <f>ABS(Datos!AO13)</f>
        <v>0</v>
      </c>
      <c r="B13" s="1258" t="str">
        <f>Datos!A13</f>
        <v xml:space="preserve">Jdos. de Menores    </v>
      </c>
      <c r="C13" s="230" t="str">
        <f t="shared" si="0"/>
        <v xml:space="preserve"> - </v>
      </c>
      <c r="D13" s="230" t="str">
        <f>IF(ISNUMBER(Datos!I13),Datos!I13," - ")</f>
        <v xml:space="preserve"> - </v>
      </c>
      <c r="E13" s="231" t="str">
        <f>IF(ISNUMBER(Datos!J13),Datos!J13," - ")</f>
        <v xml:space="preserve"> - </v>
      </c>
      <c r="F13" s="231" t="str">
        <f>IF(ISNUMBER(Datos!K13),Datos!K13," - ")</f>
        <v xml:space="preserve"> - </v>
      </c>
      <c r="G13" s="1193" t="str">
        <f>IF(Datos!E13&lt;&gt;"",Datos!E13,Datos!D13)</f>
        <v>07</v>
      </c>
      <c r="H13" s="232" t="str">
        <f>IF(ISNUMBER(Datos!L13),Datos!L13," - ")</f>
        <v xml:space="preserve"> - </v>
      </c>
      <c r="I13" s="1203" t="str">
        <f>IF(ISNUMBER(Datos!AS13/Datos!BM13),Datos!AS13/Datos!BM13," - ")</f>
        <v xml:space="preserve"> - </v>
      </c>
      <c r="J13" s="1204">
        <f>IF(ISNUMBER(Datos!BY13/Datos!CN13),Datos!BY13/Datos!CN13," - ")</f>
        <v>0</v>
      </c>
      <c r="K13" s="235" t="str">
        <f t="shared" si="1"/>
        <v xml:space="preserve"> - </v>
      </c>
      <c r="L13" s="1205" t="str">
        <f>IF(ISNUMBER(NºAsuntos!I13/NºAsuntos!G13),(NºAsuntos!I13/NºAsuntos!G13)*11," - ")</f>
        <v xml:space="preserve"> - </v>
      </c>
      <c r="M13" s="233" t="str">
        <f>IF(ISNUMBER(Datos!CL13),Datos!CL13," - ")</f>
        <v xml:space="preserve"> - </v>
      </c>
      <c r="N13" s="501">
        <f>Datos!CU13</f>
        <v>0</v>
      </c>
      <c r="O13" s="1194">
        <f>Datos!CT13</f>
        <v>0</v>
      </c>
      <c r="P13" s="1206" t="str">
        <f>IF(ISNUMBER((Datos!AS13/Datos!AQ13)),(Datos!AS13/Datos!AQ13)," - ")</f>
        <v xml:space="preserve"> - </v>
      </c>
      <c r="Q13" s="250" t="str">
        <f>IF(ISNUMBER(Datos!CQ13),Datos!CQ13," - ")</f>
        <v xml:space="preserve"> - </v>
      </c>
      <c r="R13" s="248" t="str">
        <f>IF(ISNUMBER((P13/Datos!CO13)*factor_trimestre),(P13/Datos!CO13)*factor_trimestre," - ")</f>
        <v xml:space="preserve"> - </v>
      </c>
      <c r="S13" s="361" t="str">
        <f>IF(ISNUMBER((Q13/Datos!CP13)*factor_trimestre),(Q13/Datos!CP13)*factor_trimestre," - ")</f>
        <v xml:space="preserve"> - </v>
      </c>
      <c r="T13" s="500">
        <f>Datos!ET13</f>
        <v>0</v>
      </c>
      <c r="U13" s="1317"/>
      <c r="V13" s="1321" t="str">
        <f>IF(U13="",IF(ISNUMBER(IF(ISNUMBER(S13),S13,0)/((Datos!EU13-Datos!ET13)/Datos!EU13)),IF(ISNUMBER(S13),S13,0)/((Datos!EU13-Datos!ET13)/Datos!EU13)," - "),IF(ISNUMBER(IF(ISNUMBER(S13),S13,0)/((Datos!EU13-U13)/Datos!EU13)),IF(ISNUMBER(S13),S13,0)/((Datos!EU13-U13)/Datos!EU13)))</f>
        <v xml:space="preserve"> - </v>
      </c>
      <c r="W13" s="500" t="str">
        <f>IF(ISNUMBER(Datos!CV13),Datos!CV13," - ")</f>
        <v xml:space="preserve"> - </v>
      </c>
      <c r="X13" s="500" t="str">
        <f>IF(ISNUMBER(Datos!DH13),Datos!DH13," - ")</f>
        <v xml:space="preserve"> - </v>
      </c>
      <c r="Y13" s="500" t="str">
        <f>IF(ISNUMBER(Datos!DI13),Datos!DI13," - ")</f>
        <v xml:space="preserve"> - </v>
      </c>
      <c r="Z13" s="345" t="str">
        <f>IF(ISNUMBER(Datos!DJ13),Datos!DJ13," - ")</f>
        <v xml:space="preserve"> - </v>
      </c>
      <c r="AA13" s="516" t="str">
        <f>IF(ISNUMBER(Datos!DG13),Datos!DG13," - ")</f>
        <v xml:space="preserve"> - </v>
      </c>
      <c r="AB13" s="344" t="str">
        <f>IF(ISNUMBER(Datos!CY13),Datos!CY13," - ")</f>
        <v xml:space="preserve"> - </v>
      </c>
      <c r="AC13" s="344" t="str">
        <f>IF(ISNUMBER(Datos!CZ13),Datos!CZ13," - ")</f>
        <v xml:space="preserve"> - </v>
      </c>
      <c r="AD13" s="344" t="str">
        <f>IF(ISNUMBER(Datos!DA13),Datos!DA13," - ")</f>
        <v xml:space="preserve"> - </v>
      </c>
      <c r="AE13" s="1311">
        <v>0</v>
      </c>
    </row>
    <row r="14" spans="1:31" ht="15">
      <c r="A14" s="1209"/>
      <c r="B14" s="1259" t="str">
        <f>Datos!A14</f>
        <v>TOTAL</v>
      </c>
      <c r="C14" s="1210">
        <f>SUBTOTAL(9,C9:C13)</f>
        <v>1</v>
      </c>
      <c r="D14" s="1210">
        <f>SUBTOTAL(9,D9:D13)</f>
        <v>1</v>
      </c>
      <c r="E14" s="1211">
        <f>SUBTOTAL(9,E9:E13)</f>
        <v>2</v>
      </c>
      <c r="F14" s="1212">
        <f>SUBTOTAL(9,F9:F13)</f>
        <v>1</v>
      </c>
      <c r="G14" s="1213" t="str">
        <f ca="1">INDIRECT(CONCATENATE("G",ROW()-1))</f>
        <v>07</v>
      </c>
      <c r="H14" s="1214">
        <f ca="1">SUMIF(G$8:G13,G14,H$8:H13)</f>
        <v>0</v>
      </c>
      <c r="I14" s="1215"/>
      <c r="J14" s="1216"/>
      <c r="K14" s="1217"/>
      <c r="L14" s="1218"/>
      <c r="M14" s="1214">
        <f ca="1">SUMIF(G$8:G13,G14,M$8:M13)</f>
        <v>0</v>
      </c>
      <c r="N14" s="1218"/>
      <c r="O14" s="1214"/>
      <c r="P14" s="1219">
        <f ca="1">SUMIF(G$8:G13,G14,P$8:P13)</f>
        <v>0</v>
      </c>
      <c r="Q14" s="1220">
        <f ca="1">SUMIF(G$8:G13,G14,Q$8:Q13)</f>
        <v>0</v>
      </c>
      <c r="R14" s="1219">
        <f ca="1">SUMIF(G$8:G13,G14,R$8:R13)</f>
        <v>0</v>
      </c>
      <c r="S14" s="1221">
        <f ca="1">SUMIF(G$8:G13,G14,S$8:S13)</f>
        <v>0</v>
      </c>
      <c r="T14" s="1213"/>
      <c r="U14" s="1318"/>
      <c r="V14" s="1314">
        <f ca="1">SUMIF(G$8:G13,G14,V$8:V13)</f>
        <v>0</v>
      </c>
      <c r="W14" s="1222">
        <f ca="1">SUMIF($G$8:$G13,$G14,W$8:W13)</f>
        <v>0</v>
      </c>
      <c r="X14" s="1222">
        <f ca="1">SUMIF($G$8:$G13,$G14,X$8:X13)</f>
        <v>0</v>
      </c>
      <c r="Y14" s="1222">
        <f ca="1">SUMIF($G$8:$G13,$G14,Y$8:Y13)</f>
        <v>0</v>
      </c>
      <c r="Z14" s="1213">
        <f ca="1">SUMIF($G$8:$G13,$G14,Z$8:Z13)</f>
        <v>0</v>
      </c>
      <c r="AA14" s="1223">
        <f ca="1">SUMIF($G$8:$G13,$G14,AA$8:AA13)</f>
        <v>0</v>
      </c>
      <c r="AB14" s="1222">
        <f ca="1">SUMIF($G$8:$G13,$G14,AB$8:AB13)</f>
        <v>0</v>
      </c>
      <c r="AC14" s="1222">
        <f ca="1">SUMIF($G$8:$G13,$G14,AC$8:AC13)</f>
        <v>0</v>
      </c>
      <c r="AD14" s="1224">
        <f ca="1">SUMIF($G$8:$G13,$G14,AD$8:AD13)</f>
        <v>0</v>
      </c>
      <c r="AE14" s="1311"/>
    </row>
    <row r="15" spans="1:31" ht="15">
      <c r="A15" s="1498" t="str">
        <f>Datos!A15</f>
        <v xml:space="preserve">Jurisdicción Penal ( 2 ):                      </v>
      </c>
      <c r="B15" s="1499"/>
      <c r="C15" s="343"/>
      <c r="D15" s="343"/>
      <c r="E15" s="1225"/>
      <c r="F15" s="1225"/>
      <c r="G15" s="1225"/>
      <c r="H15" s="233"/>
      <c r="I15" s="343"/>
      <c r="J15" s="233"/>
      <c r="K15" s="235"/>
      <c r="L15" s="235"/>
      <c r="M15" s="233"/>
      <c r="N15" s="235"/>
      <c r="O15" s="1226"/>
      <c r="P15" s="1227"/>
      <c r="Q15" s="1228"/>
      <c r="R15" s="1229"/>
      <c r="S15" s="1226"/>
      <c r="T15" s="1193"/>
      <c r="U15" s="1319"/>
      <c r="V15" s="1315"/>
      <c r="W15" s="1230"/>
      <c r="X15" s="1199"/>
      <c r="Y15" s="1199"/>
      <c r="Z15" s="1200"/>
      <c r="AA15" s="1207"/>
      <c r="AB15" s="613"/>
      <c r="AC15" s="613"/>
      <c r="AD15" s="1208"/>
      <c r="AE15" s="1311"/>
    </row>
    <row r="16" spans="1:31" ht="15">
      <c r="A16" s="1202">
        <f>ABS(Datos!AO16)</f>
        <v>0</v>
      </c>
      <c r="B16" s="1258" t="str">
        <f>Datos!A16</f>
        <v xml:space="preserve">Jdos. Instrucción                               </v>
      </c>
      <c r="C16" s="230" t="str">
        <f t="shared" ref="C16:C19" si="2">IF(ISNUMBER(H16-E16+F16),H16-E16+F16," - ")</f>
        <v xml:space="preserve"> - </v>
      </c>
      <c r="D16" s="230" t="str">
        <f>IF(ISNUMBER(IF(D_I="SI",Datos!I16,Datos!I16+Datos!AC16)),IF(D_I="SI",Datos!I16,Datos!I16+Datos!AC16)," - ")</f>
        <v xml:space="preserve"> - </v>
      </c>
      <c r="E16" s="231" t="str">
        <f>IF(ISNUMBER(IF(D_I="SI",Datos!J16,Datos!J16+Datos!AD16)),IF(D_I="SI",Datos!J16,Datos!J16+Datos!AD16)," - ")</f>
        <v xml:space="preserve"> - </v>
      </c>
      <c r="F16" s="231" t="str">
        <f>IF(ISNUMBER(IF(D_I="SI",Datos!K16,Datos!K16+Datos!AE16)),IF(D_I="SI",Datos!K16,Datos!K16+Datos!AE16)," - ")</f>
        <v xml:space="preserve"> - </v>
      </c>
      <c r="G16" s="1193" t="str">
        <f>IF(Datos!E16&lt;&gt;"",Datos!E16,Datos!D16)</f>
        <v>03</v>
      </c>
      <c r="H16" s="232" t="str">
        <f>IF(ISNUMBER(IF(D_I="SI",Datos!L16,Datos!L16+Datos!AF16)),IF(D_I="SI",Datos!L16,Datos!L16+Datos!AF16)," - ")</f>
        <v xml:space="preserve"> - </v>
      </c>
      <c r="I16" s="1203" t="str">
        <f>IF(ISNUMBER(Datos!AS16/Datos!BM16),Datos!AS16/Datos!BM16," - ")</f>
        <v xml:space="preserve"> - </v>
      </c>
      <c r="J16" s="1204">
        <f>IF(ISNUMBER(Datos!BY16/Datos!CN16),Datos!BY16/Datos!CN16," - ")</f>
        <v>0</v>
      </c>
      <c r="K16" s="235" t="str">
        <f t="shared" ref="K16:K19" si="3">IF(ISNUMBER((E16-F16)/C16),(E16-F16)/C16," - ")</f>
        <v xml:space="preserve"> - </v>
      </c>
      <c r="L16" s="1205" t="str">
        <f>IF(ISNUMBER(NºAsuntos!I16/NºAsuntos!G16),(NºAsuntos!I16/NºAsuntos!G16)*11," - ")</f>
        <v xml:space="preserve"> - </v>
      </c>
      <c r="M16" s="233" t="str">
        <f>IF(ISNUMBER(Datos!CL16),Datos!CL16," - ")</f>
        <v xml:space="preserve"> - </v>
      </c>
      <c r="N16" s="501">
        <f>Datos!CU16</f>
        <v>0</v>
      </c>
      <c r="O16" s="1194">
        <f>Datos!CT16</f>
        <v>0</v>
      </c>
      <c r="P16" s="1206" t="str">
        <f>IF(ISNUMBER((Datos!AS16/Datos!AQ16)),(Datos!AS16/Datos!AQ16)," - ")</f>
        <v xml:space="preserve"> - </v>
      </c>
      <c r="Q16" s="250">
        <f>IF(ISNUMBER(Datos!CQ16+Datos!CR16),Datos!CQ16+Datos!CR16*1.16," - ")</f>
        <v>0</v>
      </c>
      <c r="R16" s="248" t="str">
        <f>IF(ISNUMBER((P16/Datos!CO16)*factor_trimestre),(P16/Datos!CO16)*factor_trimestre," - ")</f>
        <v xml:space="preserve"> - </v>
      </c>
      <c r="S16" s="361">
        <f>IF(ISNUMBER((Q16/Datos!CP16)*factor_trimestre),(Q16/Datos!CP16)*factor_trimestre," - ")</f>
        <v>0</v>
      </c>
      <c r="T16" s="500">
        <f>Datos!ET16</f>
        <v>0</v>
      </c>
      <c r="U16" s="1317"/>
      <c r="V16" s="1321" t="str">
        <f>IF(U16="",IF(ISNUMBER(IF(ISNUMBER(S16),S16,0)/((Datos!EU16-Datos!ET16)/Datos!EU16)),IF(ISNUMBER(S16),S16,0)/((Datos!EU16-Datos!ET16)/Datos!EU16)," - "),IF(ISNUMBER(IF(ISNUMBER(S16),S16,0)/((Datos!EU16-U16)/Datos!EU16)),IF(ISNUMBER(S16),S16,0)/((Datos!EU16-U16)/Datos!EU16)))</f>
        <v xml:space="preserve"> - </v>
      </c>
      <c r="W16" s="500" t="str">
        <f>IF(ISNUMBER(Datos!CV16),Datos!CV16," - ")</f>
        <v xml:space="preserve"> - </v>
      </c>
      <c r="X16" s="500" t="str">
        <f>IF(ISNUMBER(Datos!DH16),Datos!DH16," - ")</f>
        <v xml:space="preserve"> - </v>
      </c>
      <c r="Y16" s="500" t="str">
        <f>IF(ISNUMBER(Datos!DI16),Datos!DI16," - ")</f>
        <v xml:space="preserve"> - </v>
      </c>
      <c r="Z16" s="345" t="str">
        <f>IF(ISNUMBER(Datos!DJ16),Datos!DJ16," - ")</f>
        <v xml:space="preserve"> - </v>
      </c>
      <c r="AA16" s="516" t="str">
        <f>IF(ISNUMBER(Datos!DG16),Datos!DG16," - ")</f>
        <v xml:space="preserve"> - </v>
      </c>
      <c r="AB16" s="344" t="str">
        <f>IF(ISNUMBER(Datos!CY16),Datos!CY16," - ")</f>
        <v xml:space="preserve"> - </v>
      </c>
      <c r="AC16" s="344" t="str">
        <f>IF(ISNUMBER(Datos!CZ16),Datos!CZ16," - ")</f>
        <v xml:space="preserve"> - </v>
      </c>
      <c r="AD16" s="344" t="str">
        <f>IF(ISNUMBER(Datos!DA16),Datos!DA16," - ")</f>
        <v xml:space="preserve"> - </v>
      </c>
      <c r="AE16" s="1311">
        <v>0</v>
      </c>
    </row>
    <row r="17" spans="1:31" ht="15">
      <c r="A17" s="1202">
        <f>ABS(Datos!AO17)</f>
        <v>2</v>
      </c>
      <c r="B17" s="1258" t="str">
        <f>Datos!A17</f>
        <v xml:space="preserve">Jdos. 1ª Instª. e Instr.                        </v>
      </c>
      <c r="C17" s="230">
        <f t="shared" si="2"/>
        <v>234</v>
      </c>
      <c r="D17" s="230">
        <f>IF(ISNUMBER(IF(D_I="SI",Datos!I17,Datos!I17+Datos!AC17)),IF(D_I="SI",Datos!I17,Datos!I17+Datos!AC17)," - ")</f>
        <v>224</v>
      </c>
      <c r="E17" s="231">
        <f>IF(ISNUMBER(IF(D_I="SI",Datos!J17,Datos!J17+Datos!AD17)),IF(D_I="SI",Datos!J17,Datos!J17+Datos!AD17)," - ")</f>
        <v>622</v>
      </c>
      <c r="F17" s="231">
        <f>IF(ISNUMBER(IF(D_I="SI",Datos!K17,Datos!K17+Datos!AE17)),IF(D_I="SI",Datos!K17,Datos!K17+Datos!AE17)," - ")</f>
        <v>606</v>
      </c>
      <c r="G17" s="1193" t="str">
        <f>IF(Datos!E17&lt;&gt;"",Datos!E17,Datos!D17)</f>
        <v>04</v>
      </c>
      <c r="H17" s="232">
        <f>IF(ISNUMBER(IF(D_I="SI",Datos!L17,Datos!L17+Datos!AF17)),IF(D_I="SI",Datos!L17,Datos!L17+Datos!AF17)," - ")</f>
        <v>250</v>
      </c>
      <c r="I17" s="1203" t="str">
        <f>IF(ISNUMBER(Datos!AS17/Datos!BM17),Datos!AS17/Datos!BM17," - ")</f>
        <v xml:space="preserve"> - </v>
      </c>
      <c r="J17" s="1204">
        <f>IF(ISNUMBER(Datos!BY17/Datos!CN17),Datos!BY17/Datos!CN17," - ")</f>
        <v>0</v>
      </c>
      <c r="K17" s="235">
        <f t="shared" si="3"/>
        <v>6.8376068376068383E-2</v>
      </c>
      <c r="L17" s="1205">
        <f>IF(ISNUMBER(NºAsuntos!I17/NºAsuntos!G17),(NºAsuntos!I17/NºAsuntos!G17)*11," - ")</f>
        <v>4.5379537953795381</v>
      </c>
      <c r="M17" s="233" t="str">
        <f>IF(ISNUMBER(Datos!CL17),Datos!CL17," - ")</f>
        <v xml:space="preserve"> - </v>
      </c>
      <c r="N17" s="501">
        <f>Datos!CU17</f>
        <v>0</v>
      </c>
      <c r="O17" s="1194">
        <f>Datos!CT17</f>
        <v>0</v>
      </c>
      <c r="P17" s="1206" t="str">
        <f>IF(ISNUMBER((Datos!AS17/Datos!AQ17)),(Datos!AS17/Datos!AQ17)," - ")</f>
        <v xml:space="preserve"> - </v>
      </c>
      <c r="Q17" s="250" t="str">
        <f>IF(ISNUMBER(Datos!CQ17),Datos!CQ17," - ")</f>
        <v xml:space="preserve"> - </v>
      </c>
      <c r="R17" s="248" t="str">
        <f>IF(ISNUMBER((P17/Datos!CO17)*factor_trimestre),(P17/Datos!CO17)*factor_trimestre," - ")</f>
        <v xml:space="preserve"> - </v>
      </c>
      <c r="S17" s="361" t="str">
        <f>IF(ISNUMBER((Q17/Datos!CP17)*factor_trimestre),(Q17/Datos!CP17)*factor_trimestre," - ")</f>
        <v xml:space="preserve"> - </v>
      </c>
      <c r="T17" s="500">
        <f>Datos!ET17</f>
        <v>0</v>
      </c>
      <c r="U17" s="1317"/>
      <c r="V17" s="1321" t="str">
        <f>IF(U17="",IF(ISNUMBER(IF(ISNUMBER(S17),S17,0)/((Datos!EU17-Datos!ET17)/Datos!EU17)),IF(ISNUMBER(S17),S17,0)/((Datos!EU17-Datos!ET17)/Datos!EU17)," - "),IF(ISNUMBER(IF(ISNUMBER(S17),S17,0)/((Datos!EU17-U17)/Datos!EU17)),IF(ISNUMBER(S17),S17,0)/((Datos!EU17-U17)/Datos!EU17)))</f>
        <v xml:space="preserve"> - </v>
      </c>
      <c r="W17" s="500" t="str">
        <f>IF(ISNUMBER(Datos!CV17),Datos!CV17," - ")</f>
        <v xml:space="preserve"> - </v>
      </c>
      <c r="X17" s="500" t="str">
        <f>IF(ISNUMBER(Datos!DH17),Datos!DH17," - ")</f>
        <v xml:space="preserve"> - </v>
      </c>
      <c r="Y17" s="500" t="str">
        <f>IF(ISNUMBER(Datos!DI17),Datos!DI17," - ")</f>
        <v xml:space="preserve"> - </v>
      </c>
      <c r="Z17" s="345" t="str">
        <f>IF(ISNUMBER(Datos!DJ17),Datos!DJ17," - ")</f>
        <v xml:space="preserve"> - </v>
      </c>
      <c r="AA17" s="516" t="str">
        <f>IF(ISNUMBER(Datos!DG17),Datos!DG17," - ")</f>
        <v xml:space="preserve"> - </v>
      </c>
      <c r="AB17" s="344" t="str">
        <f>IF(ISNUMBER(Datos!CY17),Datos!CY17," - ")</f>
        <v xml:space="preserve"> - </v>
      </c>
      <c r="AC17" s="344" t="str">
        <f>IF(ISNUMBER(Datos!CZ17),Datos!CZ17," - ")</f>
        <v xml:space="preserve"> - </v>
      </c>
      <c r="AD17" s="344" t="str">
        <f>IF(ISNUMBER(Datos!DA17),Datos!DA17," - ")</f>
        <v xml:space="preserve"> - </v>
      </c>
      <c r="AE17" s="1311">
        <v>0</v>
      </c>
    </row>
    <row r="18" spans="1:31" ht="15">
      <c r="A18" s="1202">
        <f>ABS(Datos!AO18)</f>
        <v>1</v>
      </c>
      <c r="B18" s="1258" t="str">
        <f>Datos!A18</f>
        <v>Jdos. Violencia contra la mujer</v>
      </c>
      <c r="C18" s="230">
        <f t="shared" si="2"/>
        <v>14</v>
      </c>
      <c r="D18" s="230">
        <f>IF(ISNUMBER(IF(D_I="SI",Datos!I18,Datos!I18+Datos!AC18)),IF(D_I="SI",Datos!I18,Datos!I18+Datos!AC18)," - ")</f>
        <v>14</v>
      </c>
      <c r="E18" s="231">
        <f>IF(ISNUMBER(IF(D_I="SI",Datos!J18,Datos!J18+Datos!AD18)),IF(D_I="SI",Datos!J18,Datos!J18+Datos!AD18)," - ")</f>
        <v>24</v>
      </c>
      <c r="F18" s="231">
        <f>IF(ISNUMBER(IF(D_I="SI",Datos!K18,Datos!K18+Datos!AE18)),IF(D_I="SI",Datos!K18,Datos!K18+Datos!AE18)," - ")</f>
        <v>19</v>
      </c>
      <c r="G18" s="1193" t="str">
        <f>IF(Datos!E18&lt;&gt;"",Datos!E18,Datos!D18)</f>
        <v>37</v>
      </c>
      <c r="H18" s="232">
        <f>IF(ISNUMBER(IF(D_I="SI",Datos!L18,Datos!L18+Datos!AF18)),IF(D_I="SI",Datos!L18,Datos!L18+Datos!AF18)," - ")</f>
        <v>19</v>
      </c>
      <c r="I18" s="1203" t="str">
        <f>IF(ISNUMBER(Datos!AS18/Datos!BM18),Datos!AS18/Datos!BM18," - ")</f>
        <v xml:space="preserve"> - </v>
      </c>
      <c r="J18" s="1204" t="str">
        <f>IF(ISNUMBER((Datos!BY18+Datos!BZ18)/Datos!CN18),(Datos!BY18+Datos!BZ18)/Datos!CN18," - ")</f>
        <v xml:space="preserve"> - </v>
      </c>
      <c r="K18" s="235">
        <f t="shared" si="3"/>
        <v>0.35714285714285715</v>
      </c>
      <c r="L18" s="1205">
        <f>IF(ISNUMBER(NºAsuntos!I18/NºAsuntos!G18),(NºAsuntos!I18/NºAsuntos!G18)*11," - ")</f>
        <v>11</v>
      </c>
      <c r="M18" s="233" t="str">
        <f>IF(ISNUMBER(Datos!CL18),Datos!CL18," - ")</f>
        <v xml:space="preserve"> - </v>
      </c>
      <c r="N18" s="501">
        <f>Datos!CU18</f>
        <v>0</v>
      </c>
      <c r="O18" s="1194">
        <f>Datos!CT18</f>
        <v>0</v>
      </c>
      <c r="P18" s="1206" t="str">
        <f>IF(ISNUMBER((Datos!AS18/Datos!AQ18)),(Datos!AS18/Datos!AQ18)," - ")</f>
        <v xml:space="preserve"> - </v>
      </c>
      <c r="Q18" s="250" t="str">
        <f>IF(ISNUMBER(Datos!CQ18),Datos!CQ18," - ")</f>
        <v xml:space="preserve"> - </v>
      </c>
      <c r="R18" s="248" t="str">
        <f>IF(ISNUMBER((P18/Datos!CO18)*factor_trimestre),(P18/Datos!CO18)*factor_trimestre," - ")</f>
        <v xml:space="preserve"> - </v>
      </c>
      <c r="S18" s="361" t="str">
        <f>IF(ISNUMBER((Q18/Datos!CP18)*factor_trimestre),(Q18/Datos!CP18)*factor_trimestre," - ")</f>
        <v xml:space="preserve"> - </v>
      </c>
      <c r="T18" s="500">
        <f>Datos!ET18</f>
        <v>0</v>
      </c>
      <c r="U18" s="1317"/>
      <c r="V18" s="1321" t="str">
        <f>IF(U18="",IF(ISNUMBER(IF(ISNUMBER(S18),S18,0)/((Datos!EU18-Datos!ET18)/Datos!EU18)),IF(ISNUMBER(S18),S18,0)/((Datos!EU18-Datos!ET18)/Datos!EU18)," - "),IF(ISNUMBER(IF(ISNUMBER(S18),S18,0)/((Datos!EU18-U18)/Datos!EU18)),IF(ISNUMBER(S18),S18,0)/((Datos!EU18-U18)/Datos!EU18)))</f>
        <v xml:space="preserve"> - </v>
      </c>
      <c r="W18" s="500" t="str">
        <f>IF(ISNUMBER(Datos!CV18),Datos!CV18," - ")</f>
        <v xml:space="preserve"> - </v>
      </c>
      <c r="X18" s="500" t="str">
        <f>IF(ISNUMBER(Datos!DH18),Datos!DH18," - ")</f>
        <v xml:space="preserve"> - </v>
      </c>
      <c r="Y18" s="500" t="str">
        <f>IF(ISNUMBER(Datos!DI18),Datos!DI18," - ")</f>
        <v xml:space="preserve"> - </v>
      </c>
      <c r="Z18" s="345" t="str">
        <f>IF(ISNUMBER(Datos!DJ18),Datos!DJ18," - ")</f>
        <v xml:space="preserve"> - </v>
      </c>
      <c r="AA18" s="516" t="str">
        <f>IF(ISNUMBER(Datos!DG18),Datos!DG18," - ")</f>
        <v xml:space="preserve"> - </v>
      </c>
      <c r="AB18" s="344" t="str">
        <f>IF(ISNUMBER(Datos!CY18),Datos!CY18," - ")</f>
        <v xml:space="preserve"> - </v>
      </c>
      <c r="AC18" s="344" t="str">
        <f>IF(ISNUMBER(Datos!CZ18),Datos!CZ18," - ")</f>
        <v xml:space="preserve"> - </v>
      </c>
      <c r="AD18" s="344" t="str">
        <f>IF(ISNUMBER(Datos!DA18),Datos!DA18," - ")</f>
        <v xml:space="preserve"> - </v>
      </c>
      <c r="AE18" s="1311">
        <v>0</v>
      </c>
    </row>
    <row r="19" spans="1:31" ht="15">
      <c r="A19" s="1202">
        <f>ABS(Datos!AO19)</f>
        <v>0</v>
      </c>
      <c r="B19" s="1258" t="str">
        <f>Datos!A19</f>
        <v xml:space="preserve">Jdos. de Menores                                </v>
      </c>
      <c r="C19" s="230" t="str">
        <f t="shared" si="2"/>
        <v xml:space="preserve"> - </v>
      </c>
      <c r="D19" s="230" t="str">
        <f>IF(ISNUMBER(Datos!I19),Datos!I19," - ")</f>
        <v xml:space="preserve"> - </v>
      </c>
      <c r="E19" s="231" t="str">
        <f>IF(ISNUMBER(Datos!J19),Datos!J19," - ")</f>
        <v xml:space="preserve"> - </v>
      </c>
      <c r="F19" s="231" t="str">
        <f>IF(ISNUMBER(Datos!K19),Datos!K19," - ")</f>
        <v xml:space="preserve"> - </v>
      </c>
      <c r="G19" s="1193" t="str">
        <f>IF(Datos!E19&lt;&gt;"",Datos!E19,Datos!D19)</f>
        <v>07</v>
      </c>
      <c r="H19" s="232" t="str">
        <f>IF(ISNUMBER(Datos!L19),Datos!L19," - ")</f>
        <v xml:space="preserve"> - </v>
      </c>
      <c r="I19" s="1203" t="str">
        <f>IF(ISNUMBER(Datos!AS19/Datos!BM19),Datos!AS19/Datos!BM19," - ")</f>
        <v xml:space="preserve"> - </v>
      </c>
      <c r="J19" s="1204">
        <f>IF(ISNUMBER(Datos!BY19/Datos!CN19),Datos!BY19/Datos!CN19," - ")</f>
        <v>0</v>
      </c>
      <c r="K19" s="235" t="str">
        <f t="shared" si="3"/>
        <v xml:space="preserve"> - </v>
      </c>
      <c r="L19" s="1205" t="str">
        <f>IF(ISNUMBER(NºAsuntos!I19/NºAsuntos!G19),(NºAsuntos!I19/NºAsuntos!G19)*11," - ")</f>
        <v xml:space="preserve"> - </v>
      </c>
      <c r="M19" s="233" t="str">
        <f>IF(ISNUMBER(Datos!CL19),Datos!CL19," - ")</f>
        <v xml:space="preserve"> - </v>
      </c>
      <c r="N19" s="501">
        <f>Datos!CU19</f>
        <v>0</v>
      </c>
      <c r="O19" s="1194">
        <f>Datos!CT19</f>
        <v>0</v>
      </c>
      <c r="P19" s="1206" t="str">
        <f>IF(ISNUMBER((Datos!AS19/Datos!AQ19)),(Datos!AS19/Datos!AQ19)," - ")</f>
        <v xml:space="preserve"> - </v>
      </c>
      <c r="Q19" s="250" t="str">
        <f>IF(ISNUMBER(Datos!CQ19),Datos!CQ19," - ")</f>
        <v xml:space="preserve"> - </v>
      </c>
      <c r="R19" s="248" t="str">
        <f>IF(ISNUMBER((P19/Datos!CO19)*factor_trimestre),(P19/Datos!CO19)*factor_trimestre," - ")</f>
        <v xml:space="preserve"> - </v>
      </c>
      <c r="S19" s="361" t="str">
        <f>IF(ISNUMBER((Q19/Datos!CP19)*factor_trimestre),(Q19/Datos!CP19)*factor_trimestre," - ")</f>
        <v xml:space="preserve"> - </v>
      </c>
      <c r="T19" s="500">
        <f>Datos!ET19</f>
        <v>0</v>
      </c>
      <c r="U19" s="1317"/>
      <c r="V19" s="1321" t="str">
        <f>IF(U19="",IF(ISNUMBER(IF(ISNUMBER(S19),S19,0)/((Datos!EU19-Datos!ET19)/Datos!EU19)),IF(ISNUMBER(S19),S19,0)/((Datos!EU19-Datos!ET19)/Datos!EU19)," - "),IF(ISNUMBER(IF(ISNUMBER(S19),S19,0)/((Datos!EU19-U19)/Datos!EU19)),IF(ISNUMBER(S19),S19,0)/((Datos!EU19-U19)/Datos!EU19)))</f>
        <v xml:space="preserve"> - </v>
      </c>
      <c r="W19" s="500" t="str">
        <f>IF(ISNUMBER(Datos!CV19),Datos!CV19," - ")</f>
        <v xml:space="preserve"> - </v>
      </c>
      <c r="X19" s="500" t="str">
        <f>IF(ISNUMBER(Datos!DH19),Datos!DH19," - ")</f>
        <v xml:space="preserve"> - </v>
      </c>
      <c r="Y19" s="500" t="str">
        <f>IF(ISNUMBER(Datos!DI19),Datos!DI19," - ")</f>
        <v xml:space="preserve"> - </v>
      </c>
      <c r="Z19" s="345" t="str">
        <f>IF(ISNUMBER(Datos!DJ19),Datos!DJ19," - ")</f>
        <v xml:space="preserve"> - </v>
      </c>
      <c r="AA19" s="516" t="str">
        <f>IF(ISNUMBER(Datos!DG19),Datos!DG19," - ")</f>
        <v xml:space="preserve"> - </v>
      </c>
      <c r="AB19" s="344" t="str">
        <f>IF(ISNUMBER(Datos!CY19),Datos!CY19," - ")</f>
        <v xml:space="preserve"> - </v>
      </c>
      <c r="AC19" s="344" t="str">
        <f>IF(ISNUMBER(Datos!CZ19),Datos!CZ19," - ")</f>
        <v xml:space="preserve"> - </v>
      </c>
      <c r="AD19" s="344" t="str">
        <f>IF(ISNUMBER(Datos!DA19),Datos!DA19," - ")</f>
        <v xml:space="preserve"> - </v>
      </c>
      <c r="AE19" s="1311">
        <v>0</v>
      </c>
    </row>
    <row r="20" spans="1:31" ht="15.75" thickBot="1">
      <c r="A20" s="1209"/>
      <c r="B20" s="1259" t="str">
        <f>Datos!A20</f>
        <v>TOTAL</v>
      </c>
      <c r="C20" s="1210">
        <f>SUBTOTAL(9,C16:C19)</f>
        <v>248</v>
      </c>
      <c r="D20" s="1210">
        <f>SUBTOTAL(9,D16:D19)</f>
        <v>238</v>
      </c>
      <c r="E20" s="1211">
        <f>SUBTOTAL(9,E16:E19)</f>
        <v>646</v>
      </c>
      <c r="F20" s="1211">
        <f>SUBTOTAL(9,F16:F19)</f>
        <v>625</v>
      </c>
      <c r="G20" s="1213" t="str">
        <f ca="1">INDIRECT(CONCATENATE("G",ROW()-1))</f>
        <v>07</v>
      </c>
      <c r="H20" s="1214">
        <f ca="1">SUMIF(G$15:G19,G20,H$15:H19)</f>
        <v>0</v>
      </c>
      <c r="I20" s="1215"/>
      <c r="J20" s="1216"/>
      <c r="K20" s="1217"/>
      <c r="L20" s="1218"/>
      <c r="M20" s="1214">
        <f ca="1">SUMIF(G$15:G19,G20,M$15:M19)</f>
        <v>0</v>
      </c>
      <c r="N20" s="1218"/>
      <c r="O20" s="1214"/>
      <c r="P20" s="1219">
        <f ca="1">SUMIF(G$15:G19,G20,P$15:P19)</f>
        <v>0</v>
      </c>
      <c r="Q20" s="1220">
        <f ca="1">SUMIF(G$15:G19,G20,Q$15:Q19)</f>
        <v>0</v>
      </c>
      <c r="R20" s="1219">
        <f ca="1">SUMIF(G$15:G19,G20,R$15:R19)</f>
        <v>0</v>
      </c>
      <c r="S20" s="1221">
        <f ca="1">SUMIF(G$15:G19,G20,S$15:S19)</f>
        <v>0</v>
      </c>
      <c r="T20" s="1213"/>
      <c r="U20" s="1318"/>
      <c r="V20" s="1314">
        <f ca="1">SUMIF(G$15:G19,G20,V$15:V19)</f>
        <v>0</v>
      </c>
      <c r="W20" s="1222">
        <f ca="1">SUMIF($G$15:$G19,$G20,W$15:W19)</f>
        <v>0</v>
      </c>
      <c r="X20" s="1222">
        <f ca="1">SUMIF($G$15:$G19,$G20,X$15:X19)</f>
        <v>0</v>
      </c>
      <c r="Y20" s="1222">
        <f ca="1">SUMIF($G$15:$G19,$G20,Y$15:Y19)</f>
        <v>0</v>
      </c>
      <c r="Z20" s="1213">
        <f ca="1">SUMIF($G$15:$G19,$G20,Z$15:Z19)</f>
        <v>0</v>
      </c>
      <c r="AA20" s="1223">
        <f ca="1">SUMIF($G$15:$G19,$G20,AA$15:AA19)</f>
        <v>0</v>
      </c>
      <c r="AB20" s="1222">
        <f ca="1">SUMIF($G$15:$G19,$G20,AB$15:AB19)</f>
        <v>0</v>
      </c>
      <c r="AC20" s="1222">
        <f ca="1">SUMIF($G$15:$G19,$G20,AC$15:AC19)</f>
        <v>0</v>
      </c>
      <c r="AD20" s="1222">
        <f ca="1">SUMIF($G$15:$G19,$G20,AD$15:AD19)</f>
        <v>0</v>
      </c>
      <c r="AE20" s="1311"/>
    </row>
    <row r="21" spans="1:31" ht="18.75" customHeight="1" thickTop="1" thickBot="1">
      <c r="A21" s="1231"/>
      <c r="B21" s="1260" t="str">
        <f>Datos!A21</f>
        <v>TOTAL JURISDICCIONES</v>
      </c>
      <c r="C21" s="1232">
        <f>SUBTOTAL(9,C9:C20)</f>
        <v>249</v>
      </c>
      <c r="D21" s="1232">
        <f>SUBTOTAL(9,D9:D20)</f>
        <v>239</v>
      </c>
      <c r="E21" s="1233">
        <f>SUBTOTAL(9,E9:E20)</f>
        <v>648</v>
      </c>
      <c r="F21" s="1233">
        <f>SUBTOTAL(9,F9:F20)</f>
        <v>626</v>
      </c>
      <c r="G21" s="1234"/>
      <c r="H21" s="1235">
        <f ca="1">SUMIF(B9:B20,"TOTAL",H9:H20)</f>
        <v>0</v>
      </c>
      <c r="I21" s="1236"/>
      <c r="J21" s="1237"/>
      <c r="K21" s="1238"/>
      <c r="L21" s="1239"/>
      <c r="M21" s="1240">
        <f ca="1">SUMIF(B9:B20,"TOTAL",M9:M20)</f>
        <v>0</v>
      </c>
      <c r="N21" s="1239"/>
      <c r="O21" s="1240"/>
      <c r="P21" s="1240"/>
      <c r="Q21" s="1240"/>
      <c r="R21" s="1241">
        <f ca="1">SUMIF(B9:B20,"TOTAL",R9:R20)</f>
        <v>0</v>
      </c>
      <c r="S21" s="1242">
        <f ca="1">SUMIF(B9:B20,"TOTAL",S9:S20)</f>
        <v>0</v>
      </c>
      <c r="T21" s="1244"/>
      <c r="U21" s="1320"/>
      <c r="V21" s="1316">
        <f ca="1">SUMIF(B9:B20,"TOTAL",V9:V20)</f>
        <v>0</v>
      </c>
      <c r="W21" s="1243">
        <f t="shared" ref="W21:AD21" ca="1" si="4">SUMIF($B9:$B20,"TOTAL",W9:W20)</f>
        <v>0</v>
      </c>
      <c r="X21" s="1243">
        <f t="shared" ca="1" si="4"/>
        <v>0</v>
      </c>
      <c r="Y21" s="1243">
        <f t="shared" ca="1" si="4"/>
        <v>0</v>
      </c>
      <c r="Z21" s="1244">
        <f t="shared" ca="1" si="4"/>
        <v>0</v>
      </c>
      <c r="AA21" s="1243">
        <f t="shared" ca="1" si="4"/>
        <v>0</v>
      </c>
      <c r="AB21" s="1243">
        <f t="shared" ca="1" si="4"/>
        <v>0</v>
      </c>
      <c r="AC21" s="1243">
        <f t="shared" ca="1" si="4"/>
        <v>0</v>
      </c>
      <c r="AD21" s="1245">
        <f t="shared" ca="1" si="4"/>
        <v>0</v>
      </c>
    </row>
    <row r="22" spans="1:31" ht="12" customHeight="1" thickTop="1">
      <c r="B22" s="75"/>
    </row>
    <row r="23" spans="1:31" ht="12.75" customHeight="1">
      <c r="B23" s="1261"/>
      <c r="C23" s="1187"/>
      <c r="D23" s="1187"/>
      <c r="E23" s="1188"/>
      <c r="F23" s="1187"/>
      <c r="G23" s="1187"/>
      <c r="H23" s="1187"/>
      <c r="I23" s="1187"/>
      <c r="J23" s="1187"/>
      <c r="K23" s="1188"/>
      <c r="L23" s="1188"/>
      <c r="M23" s="1188"/>
      <c r="N23" s="1188"/>
      <c r="O23" s="1188"/>
      <c r="P23" s="1188"/>
      <c r="Q23" s="1188"/>
    </row>
    <row r="24" spans="1:31" ht="12.75" customHeight="1">
      <c r="B24" s="489" t="str">
        <f>Criterios!A4</f>
        <v>Fecha Informe: 06 jun. 2023</v>
      </c>
      <c r="C24" s="1187"/>
      <c r="D24" s="1187"/>
      <c r="E24" s="1188"/>
      <c r="F24" s="1187"/>
      <c r="G24" s="1187"/>
      <c r="H24" s="1187"/>
      <c r="I24" s="1187"/>
      <c r="J24" s="1187"/>
      <c r="K24" s="1188"/>
      <c r="L24" s="1188"/>
      <c r="M24" s="1188"/>
      <c r="N24" s="1188"/>
      <c r="O24" s="1188"/>
      <c r="P24" s="1188"/>
      <c r="Q24" s="1188"/>
    </row>
    <row r="25" spans="1:31" ht="12.75" customHeight="1">
      <c r="B25" s="1261"/>
      <c r="C25" s="1187"/>
      <c r="D25" s="1187"/>
      <c r="E25" s="1187"/>
      <c r="F25" s="1187"/>
      <c r="G25" s="1187"/>
      <c r="H25" s="1187"/>
      <c r="I25" s="1187"/>
      <c r="J25" s="1187"/>
      <c r="K25" s="1187"/>
      <c r="L25" s="1187"/>
      <c r="M25" s="1187"/>
      <c r="N25" s="1187"/>
      <c r="O25" s="1187"/>
      <c r="P25" s="1187"/>
      <c r="Q25" s="1187"/>
    </row>
    <row r="26" spans="1:31" ht="12.75" customHeight="1">
      <c r="B26" s="1261"/>
      <c r="C26" s="1187"/>
      <c r="D26" s="1187"/>
      <c r="E26" s="1187"/>
      <c r="F26" s="1187"/>
      <c r="G26" s="1187"/>
      <c r="H26" s="1187"/>
      <c r="I26" s="1187"/>
      <c r="J26" s="1187"/>
      <c r="K26" s="1187"/>
      <c r="L26" s="1187"/>
      <c r="M26" s="1187"/>
      <c r="N26" s="1187"/>
      <c r="O26" s="1187"/>
      <c r="P26" s="1187"/>
      <c r="Q26" s="1187"/>
    </row>
    <row r="27" spans="1:31">
      <c r="B27" s="573"/>
      <c r="N27" s="1522" t="s">
        <v>698</v>
      </c>
      <c r="O27" s="1522"/>
      <c r="P27" s="1522"/>
      <c r="Q27" s="1522"/>
      <c r="R27" s="1522"/>
      <c r="S27" s="1522"/>
      <c r="T27" s="1522"/>
      <c r="U27" s="1522"/>
      <c r="V27" s="1522"/>
      <c r="W27" s="1522"/>
      <c r="Y27" s="1522" t="s">
        <v>699</v>
      </c>
      <c r="Z27" s="1522"/>
      <c r="AA27" s="1522"/>
      <c r="AB27" s="1522"/>
      <c r="AC27" s="1522"/>
    </row>
    <row r="29" spans="1:31">
      <c r="N29" s="1189" t="s">
        <v>700</v>
      </c>
      <c r="O29" s="1523" t="s">
        <v>701</v>
      </c>
      <c r="P29" s="1523"/>
      <c r="Q29" s="1523"/>
      <c r="R29" s="1523"/>
      <c r="S29" s="1523"/>
      <c r="T29" s="1523"/>
      <c r="U29" s="1523"/>
      <c r="V29" s="1523"/>
      <c r="W29" s="1523"/>
      <c r="Y29" s="1189" t="s">
        <v>700</v>
      </c>
      <c r="Z29" s="1524" t="s">
        <v>702</v>
      </c>
      <c r="AA29" s="1524"/>
      <c r="AB29" s="1524"/>
      <c r="AC29" s="1524"/>
    </row>
    <row r="30" spans="1:31">
      <c r="N30" s="1189" t="s">
        <v>703</v>
      </c>
      <c r="O30" s="1523" t="s">
        <v>704</v>
      </c>
      <c r="P30" s="1523"/>
      <c r="Q30" s="1523"/>
      <c r="R30" s="1523"/>
      <c r="S30" s="1523"/>
      <c r="T30" s="1523"/>
      <c r="U30" s="1523"/>
      <c r="V30" s="1523"/>
      <c r="W30" s="1523"/>
      <c r="Y30" s="1189" t="s">
        <v>703</v>
      </c>
      <c r="Z30" s="1524" t="s">
        <v>705</v>
      </c>
      <c r="AA30" s="1524"/>
      <c r="AB30" s="1524"/>
      <c r="AC30" s="1524"/>
    </row>
    <row r="31" spans="1:31">
      <c r="N31" s="1189" t="s">
        <v>706</v>
      </c>
      <c r="O31" s="1523" t="s">
        <v>707</v>
      </c>
      <c r="P31" s="1523"/>
      <c r="Q31" s="1523"/>
      <c r="R31" s="1523"/>
      <c r="S31" s="1523"/>
      <c r="T31" s="1523"/>
      <c r="U31" s="1523"/>
      <c r="V31" s="1523"/>
      <c r="W31" s="1523"/>
      <c r="Y31" s="1189" t="s">
        <v>708</v>
      </c>
      <c r="Z31" s="1524" t="s">
        <v>709</v>
      </c>
      <c r="AA31" s="1524"/>
      <c r="AB31" s="1524"/>
      <c r="AC31" s="1524"/>
    </row>
    <row r="32" spans="1:31">
      <c r="N32" s="1189" t="s">
        <v>710</v>
      </c>
      <c r="O32" s="1523" t="s">
        <v>711</v>
      </c>
      <c r="P32" s="1523"/>
      <c r="Q32" s="1523"/>
      <c r="R32" s="1523"/>
      <c r="S32" s="1523"/>
      <c r="T32" s="1523"/>
      <c r="U32" s="1523"/>
      <c r="V32" s="1523"/>
      <c r="W32" s="1523"/>
      <c r="Y32" s="1189" t="s">
        <v>712</v>
      </c>
      <c r="Z32" s="1524" t="s">
        <v>713</v>
      </c>
      <c r="AA32" s="1524"/>
      <c r="AB32" s="1524"/>
      <c r="AC32" s="1524"/>
    </row>
    <row r="33" spans="14:29">
      <c r="N33" s="1189" t="s">
        <v>798</v>
      </c>
      <c r="O33" s="1523" t="s">
        <v>799</v>
      </c>
      <c r="P33" s="1523"/>
      <c r="Q33" s="1523"/>
      <c r="R33" s="1523"/>
      <c r="S33" s="1523"/>
      <c r="T33" s="1523"/>
      <c r="U33" s="1523"/>
      <c r="V33" s="1523"/>
      <c r="W33" s="1523"/>
      <c r="Y33" s="1189" t="s">
        <v>706</v>
      </c>
      <c r="Z33" s="1524" t="s">
        <v>707</v>
      </c>
      <c r="AA33" s="1524"/>
      <c r="AB33" s="1524"/>
      <c r="AC33" s="1524"/>
    </row>
    <row r="34" spans="14:29">
      <c r="N34" s="1189" t="s">
        <v>714</v>
      </c>
      <c r="O34" s="1523" t="s">
        <v>715</v>
      </c>
      <c r="P34" s="1523"/>
      <c r="Q34" s="1523"/>
      <c r="R34" s="1523"/>
      <c r="S34" s="1523"/>
      <c r="T34" s="1523"/>
      <c r="U34" s="1523"/>
      <c r="V34" s="1523"/>
      <c r="W34" s="1523"/>
      <c r="Y34" s="1189" t="s">
        <v>710</v>
      </c>
      <c r="Z34" s="1524" t="s">
        <v>711</v>
      </c>
      <c r="AA34" s="1524"/>
      <c r="AB34" s="1524"/>
      <c r="AC34" s="1524"/>
    </row>
    <row r="35" spans="14:29">
      <c r="N35" s="1189" t="s">
        <v>716</v>
      </c>
      <c r="O35" s="1523" t="s">
        <v>717</v>
      </c>
      <c r="P35" s="1523"/>
      <c r="Q35" s="1523"/>
      <c r="R35" s="1523"/>
      <c r="S35" s="1523"/>
      <c r="T35" s="1523"/>
      <c r="U35" s="1523"/>
      <c r="V35" s="1523"/>
      <c r="W35" s="1523"/>
      <c r="Y35" s="1189" t="s">
        <v>719</v>
      </c>
      <c r="Z35" s="1524" t="s">
        <v>720</v>
      </c>
      <c r="AA35" s="1524"/>
      <c r="AB35" s="1524"/>
      <c r="AC35" s="1524"/>
    </row>
    <row r="36" spans="14:29">
      <c r="N36" s="1189" t="s">
        <v>708</v>
      </c>
      <c r="O36" s="1523" t="s">
        <v>718</v>
      </c>
      <c r="P36" s="1523"/>
      <c r="Q36" s="1523"/>
      <c r="R36" s="1523"/>
      <c r="S36" s="1523"/>
      <c r="T36" s="1523"/>
      <c r="U36" s="1523"/>
      <c r="V36" s="1523"/>
      <c r="W36" s="1523"/>
      <c r="Y36" s="1189" t="s">
        <v>722</v>
      </c>
      <c r="Z36" s="1524" t="s">
        <v>723</v>
      </c>
      <c r="AA36" s="1524"/>
      <c r="AB36" s="1524"/>
      <c r="AC36" s="1524"/>
    </row>
    <row r="37" spans="14:29">
      <c r="N37" s="1189" t="s">
        <v>712</v>
      </c>
      <c r="O37" s="1523" t="s">
        <v>721</v>
      </c>
      <c r="P37" s="1523"/>
      <c r="Q37" s="1523"/>
      <c r="R37" s="1523"/>
      <c r="S37" s="1523"/>
      <c r="T37" s="1523"/>
      <c r="U37" s="1523"/>
      <c r="V37" s="1523"/>
      <c r="W37" s="1523"/>
      <c r="Y37" s="1190" t="s">
        <v>725</v>
      </c>
      <c r="Z37" s="1525" t="s">
        <v>726</v>
      </c>
      <c r="AA37" s="1525"/>
      <c r="AB37" s="1525"/>
      <c r="AC37" s="1525"/>
    </row>
    <row r="38" spans="14:29">
      <c r="N38" s="1189" t="s">
        <v>719</v>
      </c>
      <c r="O38" s="1523" t="s">
        <v>724</v>
      </c>
      <c r="P38" s="1523"/>
      <c r="Q38" s="1523"/>
      <c r="R38" s="1523"/>
      <c r="S38" s="1523"/>
      <c r="T38" s="1523"/>
      <c r="U38" s="1523"/>
      <c r="V38" s="1523"/>
      <c r="W38" s="1523"/>
      <c r="Y38" s="1189" t="s">
        <v>714</v>
      </c>
      <c r="Z38" s="1524" t="s">
        <v>715</v>
      </c>
      <c r="AA38" s="1524"/>
      <c r="AB38" s="1524"/>
      <c r="AC38" s="1524"/>
    </row>
    <row r="39" spans="14:29">
      <c r="N39" s="1189" t="s">
        <v>727</v>
      </c>
      <c r="O39" s="1523" t="s">
        <v>728</v>
      </c>
      <c r="P39" s="1523"/>
      <c r="Q39" s="1523"/>
      <c r="R39" s="1523"/>
      <c r="S39" s="1523"/>
      <c r="T39" s="1523"/>
      <c r="U39" s="1523"/>
      <c r="V39" s="1523"/>
      <c r="W39" s="1523"/>
      <c r="Y39" s="1191" t="s">
        <v>716</v>
      </c>
      <c r="Z39" s="1527" t="s">
        <v>717</v>
      </c>
      <c r="AA39" s="1527"/>
      <c r="AB39" s="1527"/>
      <c r="AC39" s="1527"/>
    </row>
    <row r="40" spans="14:29">
      <c r="N40" s="1189" t="s">
        <v>722</v>
      </c>
      <c r="O40" s="1523" t="s">
        <v>729</v>
      </c>
      <c r="P40" s="1523"/>
      <c r="Q40" s="1523"/>
      <c r="R40" s="1523"/>
      <c r="S40" s="1523"/>
      <c r="T40" s="1523"/>
      <c r="U40" s="1523"/>
      <c r="V40" s="1523"/>
      <c r="W40" s="1523"/>
    </row>
    <row r="41" spans="14:29">
      <c r="N41" s="1191" t="s">
        <v>725</v>
      </c>
      <c r="O41" s="1526" t="s">
        <v>730</v>
      </c>
      <c r="P41" s="1526"/>
      <c r="Q41" s="1526"/>
      <c r="R41" s="1526"/>
      <c r="S41" s="1526"/>
      <c r="T41" s="1526"/>
      <c r="U41" s="1526"/>
      <c r="V41" s="1526"/>
      <c r="W41" s="1526"/>
    </row>
  </sheetData>
  <sheetProtection algorithmName="SHA-512" hashValue="xfqbD65N4AkMBVJU2FzrcsJe1IgQUL+0APuoW1Tad9jNFl7Eu/c11c9yKc0JPhn6xzwS8VeVASufau+lGDkyzw==" saltValue="nve8vkmsra7IPGk1c3i8Xg==" spinCount="100000" sheet="1" objects="1" scenarios="1"/>
  <mergeCells count="48">
    <mergeCell ref="O38:W38"/>
    <mergeCell ref="Z37:AC37"/>
    <mergeCell ref="O39:W39"/>
    <mergeCell ref="O40:W40"/>
    <mergeCell ref="O41:W41"/>
    <mergeCell ref="Z38:AC38"/>
    <mergeCell ref="Z39:AC39"/>
    <mergeCell ref="O35:W35"/>
    <mergeCell ref="O36:W36"/>
    <mergeCell ref="Z35:AC35"/>
    <mergeCell ref="O37:W37"/>
    <mergeCell ref="Z36:AC36"/>
    <mergeCell ref="O31:W31"/>
    <mergeCell ref="Z31:AC31"/>
    <mergeCell ref="O32:W32"/>
    <mergeCell ref="Z32:AC32"/>
    <mergeCell ref="O34:W34"/>
    <mergeCell ref="Z33:AC33"/>
    <mergeCell ref="O33:W33"/>
    <mergeCell ref="Z34:AC34"/>
    <mergeCell ref="N27:W27"/>
    <mergeCell ref="Y27:AC27"/>
    <mergeCell ref="O29:W29"/>
    <mergeCell ref="Z29:AC29"/>
    <mergeCell ref="O30:W30"/>
    <mergeCell ref="Z30:AC30"/>
    <mergeCell ref="Q5:S6"/>
    <mergeCell ref="W5:Z6"/>
    <mergeCell ref="AA5:AD6"/>
    <mergeCell ref="H4:L4"/>
    <mergeCell ref="N4:AD4"/>
    <mergeCell ref="H5:H7"/>
    <mergeCell ref="M5:M7"/>
    <mergeCell ref="J5:J7"/>
    <mergeCell ref="T5:V6"/>
    <mergeCell ref="A5:A7"/>
    <mergeCell ref="B5:B6"/>
    <mergeCell ref="A15:B15"/>
    <mergeCell ref="A8:B8"/>
    <mergeCell ref="N5:O6"/>
    <mergeCell ref="C5:C7"/>
    <mergeCell ref="D5:D7"/>
    <mergeCell ref="L5:L7"/>
    <mergeCell ref="E5:E7"/>
    <mergeCell ref="F5:F7"/>
    <mergeCell ref="G5:G7"/>
    <mergeCell ref="I5:I7"/>
    <mergeCell ref="K5:K7"/>
  </mergeCells>
  <phoneticPr fontId="0" type="noConversion"/>
  <conditionalFormatting sqref="D10:D13 D16:D19">
    <cfRule type="cellIs" dxfId="1701" priority="92" stopIfTrue="1" operator="between">
      <formula>$D$25</formula>
      <formula>$D$26</formula>
    </cfRule>
  </conditionalFormatting>
  <conditionalFormatting sqref="E9:E13 E16:E19">
    <cfRule type="cellIs" dxfId="1700" priority="99" stopIfTrue="1" operator="notBetween">
      <formula>$E$25</formula>
      <formula>$E$26</formula>
    </cfRule>
  </conditionalFormatting>
  <conditionalFormatting sqref="F9:F13 F16:F19">
    <cfRule type="cellIs" dxfId="1699" priority="105" stopIfTrue="1" operator="notBetween">
      <formula>$F$25</formula>
      <formula>$F$26</formula>
    </cfRule>
  </conditionalFormatting>
  <conditionalFormatting sqref="C10:C13 C16:C19">
    <cfRule type="cellIs" dxfId="1698" priority="111" stopIfTrue="1" operator="notBetween">
      <formula>$C$25</formula>
      <formula>$C$26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4" t="s">
        <v>461</v>
      </c>
    </row>
    <row r="9" spans="2:2">
      <c r="B9" s="484"/>
    </row>
    <row r="10" spans="2:2">
      <c r="B10" s="481"/>
    </row>
    <row r="11" spans="2:2" ht="25.5">
      <c r="B11" s="1323" t="s">
        <v>462</v>
      </c>
    </row>
    <row r="12" spans="2:2">
      <c r="B12" s="1324"/>
    </row>
    <row r="13" spans="2:2" ht="76.5">
      <c r="B13" s="1324" t="s">
        <v>463</v>
      </c>
    </row>
    <row r="14" spans="2:2">
      <c r="B14" s="1324"/>
    </row>
    <row r="15" spans="2:2" ht="51">
      <c r="B15" s="1324" t="s">
        <v>464</v>
      </c>
    </row>
    <row r="16" spans="2:2">
      <c r="B16" s="1324"/>
    </row>
    <row r="17" spans="2:2" ht="51">
      <c r="B17" s="1325" t="s">
        <v>465</v>
      </c>
    </row>
  </sheetData>
  <sheetProtection algorithmName="SHA-512" hashValue="fOz+FEVJdYLbVAgs7Do88GWzlYfakEOu4zI5P/8mp34hVd8Oxzb48suxMEGOoexhsDTePXXH2RHfhUcdUvCJsg==" saltValue="TVLLvK6Mq/K8qQIyr6DBM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9"/>
  <sheetViews>
    <sheetView zoomScale="80" zoomScaleNormal="80" workbookViewId="0">
      <pane xSplit="1" topLeftCell="B1" activePane="topRight" state="frozen"/>
      <selection pane="topRight" activeCell="B45" sqref="B4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c r="BO1" s="31"/>
      <c r="BP1" s="30"/>
      <c r="BQ1" s="52"/>
      <c r="BR1" s="31"/>
      <c r="BS1" s="30"/>
      <c r="BT1" s="52"/>
      <c r="BU1" s="31"/>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CORDOBA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c r="BO5" s="1465"/>
      <c r="BP5" s="1464"/>
      <c r="BQ5" s="1465"/>
      <c r="BR5" s="1464"/>
      <c r="BS5" s="1465"/>
      <c r="BT5" s="1464"/>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820</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488" t="s">
        <v>819</v>
      </c>
      <c r="ER8" s="488">
        <v>148</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t="s">
        <v>880</v>
      </c>
      <c r="J9" s="186" t="s">
        <v>872</v>
      </c>
      <c r="K9" s="186" t="s">
        <v>928</v>
      </c>
      <c r="L9" s="186" t="s">
        <v>885</v>
      </c>
      <c r="M9" s="186" t="s">
        <v>548</v>
      </c>
      <c r="N9" s="186" t="s">
        <v>563</v>
      </c>
      <c r="O9" s="186" t="s">
        <v>247</v>
      </c>
      <c r="P9" s="186" t="s">
        <v>40</v>
      </c>
      <c r="Q9" s="186" t="s">
        <v>41</v>
      </c>
      <c r="R9" s="186" t="s">
        <v>94</v>
      </c>
      <c r="S9" s="186"/>
      <c r="T9" s="186"/>
      <c r="U9" s="186"/>
      <c r="V9" s="186"/>
      <c r="W9" s="186"/>
      <c r="X9" s="193"/>
      <c r="Y9" s="196" t="s">
        <v>147</v>
      </c>
      <c r="Z9" s="186" t="s">
        <v>148</v>
      </c>
      <c r="AA9" s="186" t="s">
        <v>149</v>
      </c>
      <c r="AB9" s="186" t="s">
        <v>150</v>
      </c>
      <c r="AC9" s="186"/>
      <c r="AD9" s="186"/>
      <c r="AE9" s="186"/>
      <c r="AF9" s="193"/>
      <c r="AG9" s="196"/>
      <c r="AH9" s="186"/>
      <c r="AI9" s="186"/>
      <c r="AJ9" s="197"/>
      <c r="AK9" s="185"/>
      <c r="AL9" s="186"/>
      <c r="AM9" s="186"/>
      <c r="AN9" s="193"/>
      <c r="AO9" s="263">
        <v>0</v>
      </c>
      <c r="AP9" s="159">
        <v>0</v>
      </c>
      <c r="AQ9" s="159">
        <v>0</v>
      </c>
      <c r="AR9" s="198">
        <v>0</v>
      </c>
      <c r="AS9" s="348" t="s">
        <v>871</v>
      </c>
      <c r="AT9" s="200"/>
      <c r="AU9" s="199"/>
      <c r="AV9" s="200"/>
      <c r="AW9" s="199"/>
      <c r="AX9" s="200"/>
      <c r="AY9" s="125">
        <f>IF(ISNUMBER(IF(J_V="SI",S9,S9+AG9)),IF(J_V="SI",S9,S9+AG9)," - ")</f>
        <v>0</v>
      </c>
      <c r="AZ9" s="125">
        <f>IF(ISNUMBER(IF(J_V="SI",T9,T9+AH9)),IF(J_V="SI",T9,T9+AH9)," - ")</f>
        <v>0</v>
      </c>
      <c r="BA9" s="126">
        <f>IF(ISNUMBER(IF(J_V="SI",U9,U9+AI9)),IF(J_V="SI",U9,U9+AI9)," - ")</f>
        <v>0</v>
      </c>
      <c r="BB9" s="126">
        <f>IF(ISNUMBER(IF(J_V="SI",V9,V9+AJ9)),IF(J_V="SI",V9,V9+AJ9)," - ")</f>
        <v>0</v>
      </c>
      <c r="BC9" s="127" t="str">
        <f>IF(ISNUMBER(X9),X9," - ")</f>
        <v xml:space="preserve"> - </v>
      </c>
      <c r="BD9" s="128" t="str">
        <f>IF(ISNUMBER(BA9/AZ9),BA9/AZ9," - ")</f>
        <v xml:space="preserve"> - </v>
      </c>
      <c r="BE9" s="129" t="str">
        <f>IF(ISNUMBER(BB9/BA9),BB9/BA9, " - ")</f>
        <v xml:space="preserve"> - </v>
      </c>
      <c r="BF9" s="129" t="str">
        <f>IF(ISNUMBER(BC9/BA9),BC9/BA9, " - ")</f>
        <v xml:space="preserve"> - </v>
      </c>
      <c r="BG9" s="201" t="str">
        <f>IF(ISNUMBER((AY9+AZ9)/BA9),(AY9+AZ9)/BA9," - ")</f>
        <v xml:space="preserve"> - </v>
      </c>
      <c r="BH9" s="159">
        <v>0</v>
      </c>
      <c r="BI9" s="159"/>
      <c r="BJ9" s="199"/>
      <c r="BK9" s="159"/>
      <c r="BL9" s="159"/>
      <c r="BM9" s="159">
        <v>720</v>
      </c>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v>1088</v>
      </c>
      <c r="CO9" s="161">
        <v>720</v>
      </c>
      <c r="CP9" s="161">
        <v>1088</v>
      </c>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8" t="s">
        <v>965</v>
      </c>
      <c r="EP9" s="1146"/>
      <c r="EQ9" s="1146"/>
      <c r="ER9" s="1150">
        <v>1200</v>
      </c>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v>1</v>
      </c>
      <c r="J10" s="186">
        <v>2</v>
      </c>
      <c r="K10" s="186">
        <v>1</v>
      </c>
      <c r="L10" s="186">
        <v>2</v>
      </c>
      <c r="M10" s="186">
        <v>1</v>
      </c>
      <c r="N10" s="186">
        <v>0</v>
      </c>
      <c r="O10" s="186">
        <v>0</v>
      </c>
      <c r="P10" s="186">
        <v>0</v>
      </c>
      <c r="Q10" s="186">
        <v>0</v>
      </c>
      <c r="R10" s="186">
        <v>7</v>
      </c>
      <c r="S10" s="186">
        <v>5</v>
      </c>
      <c r="T10" s="186">
        <v>2</v>
      </c>
      <c r="U10" s="186">
        <v>3</v>
      </c>
      <c r="V10" s="186">
        <v>4</v>
      </c>
      <c r="W10" s="186">
        <v>3</v>
      </c>
      <c r="X10" s="193">
        <v>0</v>
      </c>
      <c r="Y10" s="202">
        <v>0</v>
      </c>
      <c r="Z10" s="203">
        <v>0</v>
      </c>
      <c r="AA10" s="204">
        <v>0</v>
      </c>
      <c r="AB10" s="203">
        <v>0</v>
      </c>
      <c r="AC10" s="186">
        <v>0</v>
      </c>
      <c r="AD10" s="186">
        <v>0</v>
      </c>
      <c r="AE10" s="186">
        <v>0</v>
      </c>
      <c r="AF10" s="193">
        <v>0</v>
      </c>
      <c r="AG10" s="196">
        <v>0</v>
      </c>
      <c r="AH10" s="186">
        <v>0</v>
      </c>
      <c r="AI10" s="186">
        <v>0</v>
      </c>
      <c r="AJ10" s="197">
        <v>0</v>
      </c>
      <c r="AK10" s="185">
        <v>0</v>
      </c>
      <c r="AL10" s="186">
        <v>0</v>
      </c>
      <c r="AM10" s="186">
        <v>0</v>
      </c>
      <c r="AN10" s="193">
        <v>0</v>
      </c>
      <c r="AO10" s="263">
        <v>1</v>
      </c>
      <c r="AP10" s="160">
        <v>0</v>
      </c>
      <c r="AQ10" s="159">
        <v>0</v>
      </c>
      <c r="AR10" s="160">
        <v>0</v>
      </c>
      <c r="AS10" s="349" t="s">
        <v>865</v>
      </c>
      <c r="AT10" s="197"/>
      <c r="AU10" s="205"/>
      <c r="AV10" s="197"/>
      <c r="AW10" s="205"/>
      <c r="AX10" s="197"/>
      <c r="AY10" s="130">
        <f t="shared" ref="AY10:BC10" si="0">IF(ISNUMBER(S10),S10," - ")</f>
        <v>5</v>
      </c>
      <c r="AZ10" s="131">
        <f t="shared" si="0"/>
        <v>2</v>
      </c>
      <c r="BA10" s="131">
        <f t="shared" si="0"/>
        <v>3</v>
      </c>
      <c r="BB10" s="131">
        <f t="shared" si="0"/>
        <v>4</v>
      </c>
      <c r="BC10" s="127">
        <f t="shared" si="0"/>
        <v>3</v>
      </c>
      <c r="BD10" s="128">
        <f>IF(ISNUMBER(BA10/AZ10),BA10/AZ10," - ")</f>
        <v>1.5</v>
      </c>
      <c r="BE10" s="129">
        <f>IF(ISNUMBER(BB10/BA10),BB10/BA10, " - ")</f>
        <v>1.3333333333333333</v>
      </c>
      <c r="BF10" s="129">
        <f>IF(ISNUMBER(BC10/BA10),BC10/BA10, " - ")</f>
        <v>1</v>
      </c>
      <c r="BG10" s="201">
        <f>IF(ISNUMBER((AY10+AZ10)/BA10),(AY10+AZ10)/BA10," - ")</f>
        <v>2.3333333333333335</v>
      </c>
      <c r="BH10" s="160">
        <v>1</v>
      </c>
      <c r="BI10" s="160"/>
      <c r="BJ10" s="206"/>
      <c r="BK10" s="159"/>
      <c r="BL10" s="159"/>
      <c r="BM10" s="159">
        <v>0</v>
      </c>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v>1175</v>
      </c>
      <c r="CO10" s="159">
        <v>0</v>
      </c>
      <c r="CP10" s="159">
        <v>1175</v>
      </c>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1154" t="s">
        <v>839</v>
      </c>
      <c r="EP10" s="349"/>
      <c r="EQ10" s="349"/>
      <c r="ER10" s="1151">
        <v>1600</v>
      </c>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t="s">
        <v>880</v>
      </c>
      <c r="J11" s="188" t="s">
        <v>872</v>
      </c>
      <c r="K11" s="188" t="s">
        <v>928</v>
      </c>
      <c r="L11" s="188" t="s">
        <v>885</v>
      </c>
      <c r="M11" s="188" t="s">
        <v>548</v>
      </c>
      <c r="N11" s="188" t="s">
        <v>563</v>
      </c>
      <c r="O11" s="186" t="s">
        <v>247</v>
      </c>
      <c r="P11" s="188" t="s">
        <v>40</v>
      </c>
      <c r="Q11" s="188" t="s">
        <v>41</v>
      </c>
      <c r="R11" s="188" t="s">
        <v>94</v>
      </c>
      <c r="S11" s="188"/>
      <c r="T11" s="188"/>
      <c r="U11" s="188"/>
      <c r="V11" s="188"/>
      <c r="W11" s="188"/>
      <c r="X11" s="194"/>
      <c r="Y11" s="196" t="s">
        <v>147</v>
      </c>
      <c r="Z11" s="186" t="s">
        <v>148</v>
      </c>
      <c r="AA11" s="186" t="s">
        <v>149</v>
      </c>
      <c r="AB11" s="186" t="s">
        <v>150</v>
      </c>
      <c r="AC11" s="188"/>
      <c r="AD11" s="188"/>
      <c r="AE11" s="188"/>
      <c r="AF11" s="194"/>
      <c r="AG11" s="207"/>
      <c r="AH11" s="188"/>
      <c r="AI11" s="188"/>
      <c r="AJ11" s="208"/>
      <c r="AK11" s="187"/>
      <c r="AL11" s="188"/>
      <c r="AM11" s="188"/>
      <c r="AN11" s="194"/>
      <c r="AO11" s="264">
        <v>0</v>
      </c>
      <c r="AP11" s="160">
        <v>0</v>
      </c>
      <c r="AQ11" s="160">
        <v>0</v>
      </c>
      <c r="AR11" s="159">
        <v>0</v>
      </c>
      <c r="AS11" s="350" t="s">
        <v>873</v>
      </c>
      <c r="AT11" s="208"/>
      <c r="AU11" s="207"/>
      <c r="AV11" s="208"/>
      <c r="AW11" s="207"/>
      <c r="AX11" s="208"/>
      <c r="AY11" s="128">
        <f t="shared" ref="AY11:BB12" si="1">IF(ISNUMBER(IF(J_V="SI",S11,S11+AG11)),IF(J_V="SI",S11,S11+AG11)," - ")</f>
        <v>0</v>
      </c>
      <c r="AZ11" s="129">
        <f t="shared" si="1"/>
        <v>0</v>
      </c>
      <c r="BA11" s="129">
        <f t="shared" si="1"/>
        <v>0</v>
      </c>
      <c r="BB11" s="129">
        <f t="shared" si="1"/>
        <v>0</v>
      </c>
      <c r="BC11" s="127" t="str">
        <f>IF(ISNUMBER(X11),X11," - ")</f>
        <v xml:space="preserve"> - </v>
      </c>
      <c r="BD11" s="128" t="str">
        <f t="shared" ref="BD11:BD13" si="2">IF(ISNUMBER(BA11/AZ11),BA11/AZ11," - ")</f>
        <v xml:space="preserve"> - </v>
      </c>
      <c r="BE11" s="129" t="str">
        <f t="shared" ref="BE11:BE13" si="3">IF(ISNUMBER(BB11/BA11),BB11/BA11, " - ")</f>
        <v xml:space="preserve"> - </v>
      </c>
      <c r="BF11" s="129" t="str">
        <f t="shared" ref="BF11:BF13" si="4">IF(ISNUMBER(BC11/BA11),BC11/BA11, " - ")</f>
        <v xml:space="preserve"> - </v>
      </c>
      <c r="BG11" s="201" t="str">
        <f t="shared" ref="BG11:BG13" si="5">IF(ISNUMBER((AY11+AZ11)/BA11),(AY11+AZ11)/BA11," - ")</f>
        <v xml:space="preserve"> - </v>
      </c>
      <c r="BH11" s="160">
        <v>0</v>
      </c>
      <c r="BI11" s="160"/>
      <c r="BJ11" s="207"/>
      <c r="BK11" s="160"/>
      <c r="BL11" s="160"/>
      <c r="BM11" s="160">
        <v>1000</v>
      </c>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v>1088</v>
      </c>
      <c r="CO11" s="162">
        <v>1000</v>
      </c>
      <c r="CP11" s="161">
        <v>1088</v>
      </c>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8" t="s">
        <v>966</v>
      </c>
      <c r="EP11" s="1147"/>
      <c r="EQ11" s="1147"/>
      <c r="ER11" s="1152">
        <v>1323</v>
      </c>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v>1001</v>
      </c>
      <c r="J12" s="188">
        <v>328</v>
      </c>
      <c r="K12" s="188">
        <v>277</v>
      </c>
      <c r="L12" s="188">
        <v>1052</v>
      </c>
      <c r="M12" s="188">
        <v>83</v>
      </c>
      <c r="N12" s="188">
        <v>114</v>
      </c>
      <c r="O12" s="186">
        <v>141</v>
      </c>
      <c r="P12" s="188">
        <v>77</v>
      </c>
      <c r="Q12" s="188">
        <v>33</v>
      </c>
      <c r="R12" s="188">
        <v>1356</v>
      </c>
      <c r="S12" s="188">
        <v>751</v>
      </c>
      <c r="T12" s="188">
        <v>258</v>
      </c>
      <c r="U12" s="188">
        <v>247</v>
      </c>
      <c r="V12" s="188">
        <v>762</v>
      </c>
      <c r="W12" s="188">
        <v>87</v>
      </c>
      <c r="X12" s="194">
        <v>66</v>
      </c>
      <c r="Y12" s="196">
        <v>34</v>
      </c>
      <c r="Z12" s="186">
        <v>27</v>
      </c>
      <c r="AA12" s="186">
        <v>37</v>
      </c>
      <c r="AB12" s="186">
        <v>24</v>
      </c>
      <c r="AC12" s="188">
        <v>0</v>
      </c>
      <c r="AD12" s="188">
        <v>0</v>
      </c>
      <c r="AE12" s="188">
        <v>0</v>
      </c>
      <c r="AF12" s="194">
        <v>0</v>
      </c>
      <c r="AG12" s="207">
        <v>28</v>
      </c>
      <c r="AH12" s="188">
        <v>28</v>
      </c>
      <c r="AI12" s="188">
        <v>25</v>
      </c>
      <c r="AJ12" s="208">
        <v>31</v>
      </c>
      <c r="AK12" s="187">
        <v>0</v>
      </c>
      <c r="AL12" s="188">
        <v>0</v>
      </c>
      <c r="AM12" s="188">
        <v>0</v>
      </c>
      <c r="AN12" s="194">
        <v>0</v>
      </c>
      <c r="AO12" s="264">
        <v>2</v>
      </c>
      <c r="AP12" s="160">
        <v>2</v>
      </c>
      <c r="AQ12" s="160">
        <v>2</v>
      </c>
      <c r="AR12" s="159">
        <v>2</v>
      </c>
      <c r="AS12" s="350" t="s">
        <v>874</v>
      </c>
      <c r="AT12" s="208"/>
      <c r="AU12" s="207"/>
      <c r="AV12" s="208"/>
      <c r="AW12" s="207"/>
      <c r="AX12" s="208"/>
      <c r="AY12" s="128">
        <f t="shared" si="1"/>
        <v>779</v>
      </c>
      <c r="AZ12" s="129">
        <f t="shared" si="1"/>
        <v>286</v>
      </c>
      <c r="BA12" s="129">
        <f t="shared" si="1"/>
        <v>272</v>
      </c>
      <c r="BB12" s="129">
        <f t="shared" si="1"/>
        <v>793</v>
      </c>
      <c r="BC12" s="127">
        <f>IF(ISNUMBER(X12),X12," - ")</f>
        <v>66</v>
      </c>
      <c r="BD12" s="128">
        <f t="shared" si="2"/>
        <v>0.95104895104895104</v>
      </c>
      <c r="BE12" s="129">
        <f t="shared" si="3"/>
        <v>2.9154411764705883</v>
      </c>
      <c r="BF12" s="129">
        <f t="shared" si="4"/>
        <v>0.24264705882352941</v>
      </c>
      <c r="BG12" s="201">
        <f t="shared" si="5"/>
        <v>3.9154411764705883</v>
      </c>
      <c r="BH12" s="160">
        <v>2</v>
      </c>
      <c r="BI12" s="160"/>
      <c r="BJ12" s="207"/>
      <c r="BK12" s="160"/>
      <c r="BL12" s="160"/>
      <c r="BM12" s="160">
        <v>380</v>
      </c>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v>1088</v>
      </c>
      <c r="CO12" s="162">
        <v>2880</v>
      </c>
      <c r="CP12" s="161">
        <v>1088</v>
      </c>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8" t="s">
        <v>967</v>
      </c>
      <c r="EP12" s="1148"/>
      <c r="EQ12" s="1148"/>
      <c r="ER12" s="1150">
        <v>680</v>
      </c>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t="s">
        <v>107</v>
      </c>
      <c r="J13" s="188" t="s">
        <v>108</v>
      </c>
      <c r="K13" s="188" t="s">
        <v>109</v>
      </c>
      <c r="L13" s="188" t="s">
        <v>110</v>
      </c>
      <c r="M13" s="188" t="s">
        <v>106</v>
      </c>
      <c r="N13" s="188" t="s">
        <v>565</v>
      </c>
      <c r="O13" s="188" t="s">
        <v>255</v>
      </c>
      <c r="P13" s="188" t="s">
        <v>164</v>
      </c>
      <c r="Q13" s="188" t="s">
        <v>166</v>
      </c>
      <c r="R13" s="188" t="s">
        <v>165</v>
      </c>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v>0</v>
      </c>
      <c r="AP13" s="160">
        <v>0</v>
      </c>
      <c r="AQ13" s="160">
        <v>0</v>
      </c>
      <c r="AR13" s="160">
        <v>0</v>
      </c>
      <c r="AS13" s="350" t="str">
        <f>IF( Año&lt;2006,"TCIVI251","")</f>
        <v/>
      </c>
      <c r="AT13" s="208"/>
      <c r="AU13" s="207"/>
      <c r="AV13" s="208"/>
      <c r="AW13" s="207"/>
      <c r="AX13" s="208"/>
      <c r="AY13" s="130" t="str">
        <f t="shared" ref="AY13:BC13" si="6">IF(ISNUMBER(S13),S13," - ")</f>
        <v xml:space="preserve"> - </v>
      </c>
      <c r="AZ13" s="131" t="str">
        <f t="shared" si="6"/>
        <v xml:space="preserve"> - </v>
      </c>
      <c r="BA13" s="131" t="str">
        <f t="shared" si="6"/>
        <v xml:space="preserve"> - </v>
      </c>
      <c r="BB13" s="131" t="str">
        <f t="shared" si="6"/>
        <v xml:space="preserve"> - </v>
      </c>
      <c r="BC13" s="127" t="str">
        <f t="shared" si="6"/>
        <v xml:space="preserve"> - </v>
      </c>
      <c r="BD13" s="128" t="str">
        <f t="shared" si="2"/>
        <v xml:space="preserve"> - </v>
      </c>
      <c r="BE13" s="129" t="str">
        <f t="shared" si="3"/>
        <v xml:space="preserve"> - </v>
      </c>
      <c r="BF13" s="129" t="str">
        <f t="shared" si="4"/>
        <v xml:space="preserve"> - </v>
      </c>
      <c r="BG13" s="201" t="str">
        <f t="shared" si="5"/>
        <v xml:space="preserve"> - </v>
      </c>
      <c r="BH13" s="160">
        <v>0</v>
      </c>
      <c r="BI13" s="160"/>
      <c r="BJ13" s="207"/>
      <c r="BK13" s="160"/>
      <c r="BL13" s="160"/>
      <c r="BM13" s="160">
        <v>0</v>
      </c>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v>1262</v>
      </c>
      <c r="CO13" s="162"/>
      <c r="CP13" s="162">
        <v>1262</v>
      </c>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57" t="s">
        <v>108</v>
      </c>
      <c r="EP13" s="1149"/>
      <c r="EQ13" s="1149"/>
      <c r="ER13" s="1152">
        <v>875</v>
      </c>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7">SUBTOTAL(9,I8:I13)</f>
        <v>1002</v>
      </c>
      <c r="J14" s="189">
        <f t="shared" si="7"/>
        <v>330</v>
      </c>
      <c r="K14" s="189">
        <f t="shared" si="7"/>
        <v>278</v>
      </c>
      <c r="L14" s="189">
        <f t="shared" si="7"/>
        <v>1054</v>
      </c>
      <c r="M14" s="189">
        <f t="shared" si="7"/>
        <v>84</v>
      </c>
      <c r="N14" s="189">
        <f t="shared" si="7"/>
        <v>114</v>
      </c>
      <c r="O14" s="189">
        <f t="shared" si="7"/>
        <v>141</v>
      </c>
      <c r="P14" s="189">
        <f t="shared" si="7"/>
        <v>77</v>
      </c>
      <c r="Q14" s="189">
        <f t="shared" si="7"/>
        <v>33</v>
      </c>
      <c r="R14" s="189">
        <f t="shared" si="7"/>
        <v>1363</v>
      </c>
      <c r="S14" s="189">
        <f t="shared" si="7"/>
        <v>756</v>
      </c>
      <c r="T14" s="189">
        <f t="shared" si="7"/>
        <v>260</v>
      </c>
      <c r="U14" s="189">
        <f t="shared" si="7"/>
        <v>250</v>
      </c>
      <c r="V14" s="189">
        <f t="shared" si="7"/>
        <v>766</v>
      </c>
      <c r="W14" s="189">
        <f t="shared" si="7"/>
        <v>90</v>
      </c>
      <c r="X14" s="189">
        <f t="shared" si="7"/>
        <v>66</v>
      </c>
      <c r="Y14" s="189">
        <f t="shared" si="7"/>
        <v>34</v>
      </c>
      <c r="Z14" s="189">
        <f t="shared" si="7"/>
        <v>27</v>
      </c>
      <c r="AA14" s="189">
        <f t="shared" si="7"/>
        <v>37</v>
      </c>
      <c r="AB14" s="189">
        <f t="shared" si="7"/>
        <v>24</v>
      </c>
      <c r="AC14" s="189">
        <f t="shared" si="7"/>
        <v>0</v>
      </c>
      <c r="AD14" s="189">
        <f t="shared" si="7"/>
        <v>0</v>
      </c>
      <c r="AE14" s="189">
        <f t="shared" si="7"/>
        <v>0</v>
      </c>
      <c r="AF14" s="189">
        <f>SUBTOTAL(9,AF9:AF13)</f>
        <v>0</v>
      </c>
      <c r="AG14" s="189">
        <f t="shared" ref="AG14:AT14" si="8">SUBTOTAL(9,AG8:AG13)</f>
        <v>28</v>
      </c>
      <c r="AH14" s="189">
        <f t="shared" si="8"/>
        <v>28</v>
      </c>
      <c r="AI14" s="189">
        <f t="shared" si="8"/>
        <v>25</v>
      </c>
      <c r="AJ14" s="189">
        <f t="shared" si="8"/>
        <v>31</v>
      </c>
      <c r="AK14" s="189">
        <f t="shared" si="8"/>
        <v>0</v>
      </c>
      <c r="AL14" s="189">
        <f t="shared" si="8"/>
        <v>0</v>
      </c>
      <c r="AM14" s="189">
        <f t="shared" si="8"/>
        <v>0</v>
      </c>
      <c r="AN14" s="189">
        <f t="shared" si="8"/>
        <v>0</v>
      </c>
      <c r="AO14" s="189">
        <f t="shared" si="8"/>
        <v>3</v>
      </c>
      <c r="AP14" s="189">
        <f t="shared" si="8"/>
        <v>2</v>
      </c>
      <c r="AQ14" s="189">
        <f t="shared" si="8"/>
        <v>2</v>
      </c>
      <c r="AR14" s="189">
        <f t="shared" si="8"/>
        <v>2</v>
      </c>
      <c r="AS14" s="189">
        <f t="shared" si="8"/>
        <v>0</v>
      </c>
      <c r="AT14" s="189">
        <f t="shared" si="8"/>
        <v>0</v>
      </c>
      <c r="AU14" s="209"/>
      <c r="AV14" s="134"/>
      <c r="AW14" s="209"/>
      <c r="AX14" s="134"/>
      <c r="AY14" s="189">
        <f>SUBTOTAL(9,AY8:AY13)</f>
        <v>784</v>
      </c>
      <c r="AZ14" s="189">
        <f>SUBTOTAL(9,AZ8:AZ13)</f>
        <v>288</v>
      </c>
      <c r="BA14" s="189">
        <f>SUBTOTAL(9,BA8:BA13)</f>
        <v>275</v>
      </c>
      <c r="BB14" s="189">
        <f>SUBTOTAL(9,BB8:BB13)</f>
        <v>797</v>
      </c>
      <c r="BC14" s="189">
        <f>SUBTOTAL(9,BC8:BC13)</f>
        <v>69</v>
      </c>
      <c r="BD14" s="210">
        <f>IF(ISNUMBER(BA14/AZ14),BA14/AZ14," - ")</f>
        <v>0.95486111111111116</v>
      </c>
      <c r="BE14" s="211">
        <f>IF(ISNUMBER(BB14/BA14),BB14/BA14, " - ")</f>
        <v>2.898181818181818</v>
      </c>
      <c r="BF14" s="211">
        <f>IF(ISNUMBER(BC14/BA14),BC14/BA14, " - ")</f>
        <v>0.25090909090909091</v>
      </c>
      <c r="BG14" s="212">
        <f>IF(ISNUMBER((AY14+AZ14)/BA14),(AY14+AZ14)/BA14," - ")</f>
        <v>3.898181818181818</v>
      </c>
      <c r="BH14" s="145">
        <f>SUBTOTAL(9,BH8:BH13)</f>
        <v>3</v>
      </c>
      <c r="BI14" s="145">
        <f>SUBTOTAL(9,BI8:BI13)</f>
        <v>0</v>
      </c>
      <c r="BJ14" s="145">
        <f>SUBTOTAL(9,BJ8:BJ13)</f>
        <v>0</v>
      </c>
      <c r="BK14" s="145">
        <f>SUBTOTAL(9,BK8:BK13)</f>
        <v>0</v>
      </c>
      <c r="BL14" s="145">
        <f>SUBTOTAL(9,BL8:BL13)</f>
        <v>0</v>
      </c>
      <c r="BM14" s="145">
        <f>AVERAGE(BM8:BM13)</f>
        <v>420</v>
      </c>
      <c r="BN14" s="145"/>
      <c r="BO14" s="145"/>
      <c r="BP14" s="145"/>
      <c r="BQ14" s="145"/>
      <c r="BR14" s="145"/>
      <c r="BS14" s="145"/>
      <c r="BT14" s="145"/>
      <c r="BU14" s="145"/>
      <c r="BV14" s="145"/>
      <c r="BW14" s="145"/>
      <c r="BX14" s="145"/>
      <c r="BY14" s="156"/>
      <c r="BZ14" s="156"/>
      <c r="CA14" s="145">
        <f t="shared" ref="CA14:CL14" si="9">SUBTOTAL(9,CA8:CA13)</f>
        <v>0</v>
      </c>
      <c r="CB14" s="145">
        <f t="shared" si="9"/>
        <v>0</v>
      </c>
      <c r="CC14" s="145">
        <f t="shared" si="9"/>
        <v>0</v>
      </c>
      <c r="CD14" s="145">
        <f t="shared" si="9"/>
        <v>0</v>
      </c>
      <c r="CE14" s="145">
        <f t="shared" si="9"/>
        <v>0</v>
      </c>
      <c r="CF14" s="145">
        <f t="shared" si="9"/>
        <v>0</v>
      </c>
      <c r="CG14" s="145">
        <f t="shared" si="9"/>
        <v>0</v>
      </c>
      <c r="CH14" s="145">
        <f t="shared" si="9"/>
        <v>0</v>
      </c>
      <c r="CI14" s="145">
        <f t="shared" si="9"/>
        <v>0</v>
      </c>
      <c r="CJ14" s="145">
        <f t="shared" si="9"/>
        <v>0</v>
      </c>
      <c r="CK14" s="145">
        <f t="shared" si="9"/>
        <v>0</v>
      </c>
      <c r="CL14" s="145">
        <f t="shared" si="9"/>
        <v>0</v>
      </c>
      <c r="CM14" s="145"/>
      <c r="CN14" s="156">
        <f>AVERAGE(CN8:CN13)</f>
        <v>1140.2</v>
      </c>
      <c r="CO14" s="156">
        <f>AVERAGE(CO8:CO13)</f>
        <v>1150</v>
      </c>
      <c r="CP14" s="156">
        <f>AVERAGE(CP8:CP13)</f>
        <v>1140.2</v>
      </c>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SUBTOTAL(9,EL8:EL13)</f>
        <v>0</v>
      </c>
      <c r="EM14" s="145">
        <f>SUBTOTAL(9,EM8:EM13)</f>
        <v>0</v>
      </c>
      <c r="EN14" s="145">
        <f>SUBTOTAL(9,EN8:EN13)</f>
        <v>0</v>
      </c>
      <c r="EO14" s="1155"/>
      <c r="EP14" s="156">
        <f>SUBTOTAL(9,EP8:EP13)</f>
        <v>0</v>
      </c>
      <c r="EQ14" s="156">
        <f>SUBTOTAL(9,EQ8:EQ13)</f>
        <v>0</v>
      </c>
      <c r="ER14" s="156">
        <f>AVERAGE(ER8:ER13)</f>
        <v>971</v>
      </c>
      <c r="ES14" s="156">
        <f>SUBTOTAL(9,ES8:ES13)</f>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1156"/>
      <c r="EP15" s="348"/>
      <c r="EQ15" s="348"/>
      <c r="ER15" s="348"/>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t="s">
        <v>546</v>
      </c>
      <c r="J16" s="188" t="s">
        <v>542</v>
      </c>
      <c r="K16" s="188" t="s">
        <v>543</v>
      </c>
      <c r="L16" s="188" t="s">
        <v>544</v>
      </c>
      <c r="M16" s="188" t="s">
        <v>549</v>
      </c>
      <c r="N16" s="188" t="s">
        <v>168</v>
      </c>
      <c r="O16" s="186" t="s">
        <v>248</v>
      </c>
      <c r="P16" s="188" t="s">
        <v>528</v>
      </c>
      <c r="Q16" s="188" t="s">
        <v>529</v>
      </c>
      <c r="R16" s="188" t="s">
        <v>530</v>
      </c>
      <c r="S16" s="188"/>
      <c r="T16" s="188"/>
      <c r="U16" s="188"/>
      <c r="V16" s="188"/>
      <c r="W16" s="188"/>
      <c r="X16" s="194"/>
      <c r="Y16" s="207"/>
      <c r="Z16" s="188"/>
      <c r="AA16" s="188"/>
      <c r="AB16" s="188"/>
      <c r="AC16" s="188" t="s">
        <v>46</v>
      </c>
      <c r="AD16" s="188" t="s">
        <v>51</v>
      </c>
      <c r="AE16" s="188" t="s">
        <v>52</v>
      </c>
      <c r="AF16" s="194" t="s">
        <v>53</v>
      </c>
      <c r="AG16" s="207"/>
      <c r="AH16" s="188"/>
      <c r="AI16" s="188"/>
      <c r="AJ16" s="208"/>
      <c r="AK16" s="187"/>
      <c r="AL16" s="188"/>
      <c r="AM16" s="188"/>
      <c r="AN16" s="194"/>
      <c r="AO16" s="264">
        <v>0</v>
      </c>
      <c r="AP16" s="160">
        <v>0</v>
      </c>
      <c r="AQ16" s="160">
        <v>0</v>
      </c>
      <c r="AR16" s="160">
        <v>0</v>
      </c>
      <c r="AS16" s="350" t="s">
        <v>588</v>
      </c>
      <c r="AT16" s="208" t="s">
        <v>360</v>
      </c>
      <c r="AU16" s="207"/>
      <c r="AV16" s="208"/>
      <c r="AW16" s="207"/>
      <c r="AX16" s="208"/>
      <c r="AY16" s="130" t="str">
        <f t="shared" ref="AY16:BB17" si="10">IF(ISNUMBER(IF(D_I="SI",S16,S16+AK16)),IF(D_I="SI",S16,S16+AK16)," - ")</f>
        <v xml:space="preserve"> - </v>
      </c>
      <c r="AZ16" s="131" t="str">
        <f t="shared" si="10"/>
        <v xml:space="preserve"> - </v>
      </c>
      <c r="BA16" s="131" t="str">
        <f t="shared" si="10"/>
        <v xml:space="preserve"> - </v>
      </c>
      <c r="BB16" s="131" t="str">
        <f t="shared" si="10"/>
        <v xml:space="preserve"> - </v>
      </c>
      <c r="BC16" s="127" t="str">
        <f>IF(ISNUMBER(W16),W16," - ")</f>
        <v xml:space="preserve"> - </v>
      </c>
      <c r="BD16" s="128" t="str">
        <f>IF(ISNUMBER(BA16/AZ16),BA16/AZ16," - ")</f>
        <v xml:space="preserve"> - </v>
      </c>
      <c r="BE16" s="129" t="str">
        <f>IF(ISNUMBER(BB16/BA16),BB16/BA16, " - ")</f>
        <v xml:space="preserve"> - </v>
      </c>
      <c r="BF16" s="129" t="str">
        <f>IF(ISNUMBER(BC16/BA16),BC16/BA16, " - ")</f>
        <v xml:space="preserve"> - </v>
      </c>
      <c r="BG16" s="201" t="str">
        <f t="shared" ref="BG16:BG19" si="11">IF(ISNUMBER((AY16+AZ16)/BA16),(AY16+AZ16)/BA16," - ")</f>
        <v xml:space="preserve"> - </v>
      </c>
      <c r="BH16" s="160">
        <v>0</v>
      </c>
      <c r="BI16" s="160"/>
      <c r="BJ16" s="207"/>
      <c r="BK16" s="160"/>
      <c r="BL16" s="160"/>
      <c r="BM16" s="160">
        <v>6650</v>
      </c>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v>1262</v>
      </c>
      <c r="CO16" s="160">
        <v>6600</v>
      </c>
      <c r="CP16" s="160">
        <v>1262</v>
      </c>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8" t="s">
        <v>875</v>
      </c>
      <c r="EP16" s="1147"/>
      <c r="EQ16" s="1147"/>
      <c r="ER16" s="1152">
        <v>3300</v>
      </c>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v>224</v>
      </c>
      <c r="J17" s="188">
        <v>622</v>
      </c>
      <c r="K17" s="188">
        <v>606</v>
      </c>
      <c r="L17" s="188">
        <v>250</v>
      </c>
      <c r="M17" s="188">
        <v>86</v>
      </c>
      <c r="N17" s="188">
        <v>431</v>
      </c>
      <c r="O17" s="186">
        <v>0</v>
      </c>
      <c r="P17" s="188">
        <v>9</v>
      </c>
      <c r="Q17" s="188">
        <v>32</v>
      </c>
      <c r="R17" s="188">
        <v>30</v>
      </c>
      <c r="S17" s="188">
        <v>216</v>
      </c>
      <c r="T17" s="188">
        <v>550</v>
      </c>
      <c r="U17" s="188">
        <v>563</v>
      </c>
      <c r="V17" s="188">
        <v>203</v>
      </c>
      <c r="W17" s="188">
        <v>72</v>
      </c>
      <c r="X17" s="194">
        <v>390</v>
      </c>
      <c r="Y17" s="207">
        <v>0</v>
      </c>
      <c r="Z17" s="188">
        <v>0</v>
      </c>
      <c r="AA17" s="188">
        <v>0</v>
      </c>
      <c r="AB17" s="188">
        <v>0</v>
      </c>
      <c r="AC17" s="188">
        <v>0</v>
      </c>
      <c r="AD17" s="188">
        <v>0</v>
      </c>
      <c r="AE17" s="188">
        <v>0</v>
      </c>
      <c r="AF17" s="194">
        <v>0</v>
      </c>
      <c r="AG17" s="207">
        <v>0</v>
      </c>
      <c r="AH17" s="188">
        <v>0</v>
      </c>
      <c r="AI17" s="188">
        <v>0</v>
      </c>
      <c r="AJ17" s="208">
        <v>0</v>
      </c>
      <c r="AK17" s="187">
        <v>0</v>
      </c>
      <c r="AL17" s="188">
        <v>0</v>
      </c>
      <c r="AM17" s="188">
        <v>0</v>
      </c>
      <c r="AN17" s="194">
        <v>0</v>
      </c>
      <c r="AO17" s="264">
        <v>2</v>
      </c>
      <c r="AP17" s="160">
        <v>2</v>
      </c>
      <c r="AQ17" s="160">
        <v>2</v>
      </c>
      <c r="AR17" s="160">
        <v>2</v>
      </c>
      <c r="AS17" s="350" t="s">
        <v>545</v>
      </c>
      <c r="AT17" s="208"/>
      <c r="AU17" s="207"/>
      <c r="AV17" s="208"/>
      <c r="AW17" s="207"/>
      <c r="AX17" s="208"/>
      <c r="AY17" s="128">
        <f t="shared" si="10"/>
        <v>216</v>
      </c>
      <c r="AZ17" s="129">
        <f t="shared" si="10"/>
        <v>550</v>
      </c>
      <c r="BA17" s="129">
        <f t="shared" si="10"/>
        <v>563</v>
      </c>
      <c r="BB17" s="129">
        <f t="shared" si="10"/>
        <v>203</v>
      </c>
      <c r="BC17" s="127">
        <f>IF(ISNUMBER(W17),W17," - ")</f>
        <v>72</v>
      </c>
      <c r="BD17" s="128">
        <f t="shared" ref="BD17:BD19" si="12">IF(ISNUMBER(BA17/AZ17),BA17/AZ17," - ")</f>
        <v>1.0236363636363637</v>
      </c>
      <c r="BE17" s="129">
        <f t="shared" ref="BE17:BE19" si="13">IF(ISNUMBER(BB17/BA17),BB17/BA17, " - ")</f>
        <v>0.36056838365896982</v>
      </c>
      <c r="BF17" s="129">
        <f t="shared" ref="BF17:BF19" si="14">IF(ISNUMBER(BC17/BA17),BC17/BA17, " - ")</f>
        <v>0.12788632326820604</v>
      </c>
      <c r="BG17" s="201">
        <f t="shared" si="11"/>
        <v>1.3605683836589697</v>
      </c>
      <c r="BH17" s="160">
        <v>2</v>
      </c>
      <c r="BI17" s="160"/>
      <c r="BJ17" s="207"/>
      <c r="BK17" s="160"/>
      <c r="BL17" s="160"/>
      <c r="BM17" s="160">
        <v>2500</v>
      </c>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v>1088</v>
      </c>
      <c r="CO17" s="162">
        <v>2880</v>
      </c>
      <c r="CP17" s="160">
        <v>1088</v>
      </c>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8" t="s">
        <v>845</v>
      </c>
      <c r="EP17" s="1147"/>
      <c r="EQ17" s="1147"/>
      <c r="ER17" s="1152">
        <v>1000</v>
      </c>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v>14</v>
      </c>
      <c r="J18" s="188">
        <v>24</v>
      </c>
      <c r="K18" s="188">
        <v>19</v>
      </c>
      <c r="L18" s="188">
        <v>19</v>
      </c>
      <c r="M18" s="188">
        <v>5</v>
      </c>
      <c r="N18" s="188">
        <v>14</v>
      </c>
      <c r="O18" s="188">
        <v>0</v>
      </c>
      <c r="P18" s="188">
        <v>0</v>
      </c>
      <c r="Q18" s="188">
        <v>0</v>
      </c>
      <c r="R18" s="188">
        <v>0</v>
      </c>
      <c r="S18" s="188">
        <v>15</v>
      </c>
      <c r="T18" s="188">
        <v>16</v>
      </c>
      <c r="U18" s="188">
        <v>22</v>
      </c>
      <c r="V18" s="188">
        <v>9</v>
      </c>
      <c r="W18" s="188">
        <v>3</v>
      </c>
      <c r="X18" s="194">
        <v>19</v>
      </c>
      <c r="Y18" s="207">
        <v>0</v>
      </c>
      <c r="Z18" s="188">
        <v>0</v>
      </c>
      <c r="AA18" s="188">
        <v>0</v>
      </c>
      <c r="AB18" s="188">
        <v>0</v>
      </c>
      <c r="AC18" s="188">
        <v>0</v>
      </c>
      <c r="AD18" s="188">
        <v>0</v>
      </c>
      <c r="AE18" s="188">
        <v>0</v>
      </c>
      <c r="AF18" s="194">
        <v>0</v>
      </c>
      <c r="AG18" s="207">
        <v>0</v>
      </c>
      <c r="AH18" s="188">
        <v>0</v>
      </c>
      <c r="AI18" s="188">
        <v>0</v>
      </c>
      <c r="AJ18" s="208">
        <v>0</v>
      </c>
      <c r="AK18" s="187">
        <v>0</v>
      </c>
      <c r="AL18" s="188">
        <v>0</v>
      </c>
      <c r="AM18" s="188">
        <v>0</v>
      </c>
      <c r="AN18" s="194">
        <v>0</v>
      </c>
      <c r="AO18" s="264">
        <v>1</v>
      </c>
      <c r="AP18" s="160">
        <v>0</v>
      </c>
      <c r="AQ18" s="159">
        <v>0</v>
      </c>
      <c r="AR18" s="160">
        <v>0</v>
      </c>
      <c r="AS18" s="349" t="s">
        <v>864</v>
      </c>
      <c r="AT18" s="214"/>
      <c r="AU18" s="205"/>
      <c r="AV18" s="214"/>
      <c r="AW18" s="205"/>
      <c r="AX18" s="214"/>
      <c r="AY18" s="130">
        <f t="shared" ref="AY18:BB19" si="15">IF(ISNUMBER(S18),S18," - ")</f>
        <v>15</v>
      </c>
      <c r="AZ18" s="131">
        <f t="shared" si="15"/>
        <v>16</v>
      </c>
      <c r="BA18" s="131">
        <f t="shared" si="15"/>
        <v>22</v>
      </c>
      <c r="BB18" s="131">
        <f t="shared" si="15"/>
        <v>9</v>
      </c>
      <c r="BC18" s="127">
        <f>IF(ISNUMBER(W18),W18," - ")</f>
        <v>3</v>
      </c>
      <c r="BD18" s="128">
        <f>IF(ISNUMBER(BA18/AZ18),BA18/AZ18," - ")</f>
        <v>1.375</v>
      </c>
      <c r="BE18" s="129">
        <f>IF(ISNUMBER(BB18/BA18),BB18/BA18, " - ")</f>
        <v>0.40909090909090912</v>
      </c>
      <c r="BF18" s="129">
        <f>IF(ISNUMBER(BC18/BA18),BC18/BA18, " - ")</f>
        <v>0.13636363636363635</v>
      </c>
      <c r="BG18" s="201">
        <f>IF(ISNUMBER((AY18+AZ18)/BA18),(AY18+AZ18)/BA18," - ")</f>
        <v>1.4090909090909092</v>
      </c>
      <c r="BH18" s="160">
        <v>1</v>
      </c>
      <c r="BI18" s="160"/>
      <c r="BJ18" s="205"/>
      <c r="BK18" s="159"/>
      <c r="BL18" s="159"/>
      <c r="BM18" s="159">
        <v>1800</v>
      </c>
      <c r="BN18" s="159"/>
      <c r="BO18" s="159"/>
      <c r="BP18" s="159"/>
      <c r="BQ18" s="159"/>
      <c r="BR18" s="159"/>
      <c r="BS18" s="159"/>
      <c r="BT18" s="159"/>
      <c r="BU18" s="159"/>
      <c r="BV18" s="159"/>
      <c r="BW18" s="159"/>
      <c r="BX18" s="159"/>
      <c r="BY18" s="179" t="s">
        <v>796</v>
      </c>
      <c r="BZ18" s="179" t="s">
        <v>797</v>
      </c>
      <c r="CA18" s="159"/>
      <c r="CB18" s="159"/>
      <c r="CC18" s="159"/>
      <c r="CD18" s="159"/>
      <c r="CE18" s="159"/>
      <c r="CF18" s="159"/>
      <c r="CG18" s="159"/>
      <c r="CH18" s="159"/>
      <c r="CI18" s="159"/>
      <c r="CJ18" s="159"/>
      <c r="CK18" s="159"/>
      <c r="CL18" s="159"/>
      <c r="CM18" s="159"/>
      <c r="CN18" s="159">
        <v>1175</v>
      </c>
      <c r="CO18" s="159">
        <v>1800</v>
      </c>
      <c r="CP18" s="159">
        <v>1175</v>
      </c>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1154" t="s">
        <v>846</v>
      </c>
      <c r="EP18" s="349"/>
      <c r="EQ18" s="349"/>
      <c r="ER18" s="1151">
        <v>1600</v>
      </c>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t="s">
        <v>47</v>
      </c>
      <c r="J19" s="188" t="s">
        <v>115</v>
      </c>
      <c r="K19" s="188" t="s">
        <v>103</v>
      </c>
      <c r="L19" s="188" t="s">
        <v>104</v>
      </c>
      <c r="M19" s="188" t="s">
        <v>105</v>
      </c>
      <c r="N19" s="188" t="s">
        <v>175</v>
      </c>
      <c r="O19" s="188" t="s">
        <v>254</v>
      </c>
      <c r="P19" s="188" t="s">
        <v>163</v>
      </c>
      <c r="Q19" s="188" t="s">
        <v>167</v>
      </c>
      <c r="R19" s="188" t="s">
        <v>172</v>
      </c>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v>0</v>
      </c>
      <c r="AP19" s="160">
        <v>0</v>
      </c>
      <c r="AQ19" s="160">
        <v>0</v>
      </c>
      <c r="AR19" s="160">
        <v>0</v>
      </c>
      <c r="AS19" s="350" t="s">
        <v>366</v>
      </c>
      <c r="AT19" s="208"/>
      <c r="AU19" s="207"/>
      <c r="AV19" s="208"/>
      <c r="AW19" s="207"/>
      <c r="AX19" s="208"/>
      <c r="AY19" s="130" t="str">
        <f t="shared" si="15"/>
        <v xml:space="preserve"> - </v>
      </c>
      <c r="AZ19" s="131" t="str">
        <f t="shared" si="15"/>
        <v xml:space="preserve"> - </v>
      </c>
      <c r="BA19" s="131" t="str">
        <f t="shared" si="15"/>
        <v xml:space="preserve"> - </v>
      </c>
      <c r="BB19" s="131" t="str">
        <f t="shared" si="15"/>
        <v xml:space="preserve"> - </v>
      </c>
      <c r="BC19" s="127" t="str">
        <f>IF(ISNUMBER(W19),W19," - ")</f>
        <v xml:space="preserve"> - </v>
      </c>
      <c r="BD19" s="128" t="str">
        <f t="shared" si="12"/>
        <v xml:space="preserve"> - </v>
      </c>
      <c r="BE19" s="129" t="str">
        <f t="shared" si="13"/>
        <v xml:space="preserve"> - </v>
      </c>
      <c r="BF19" s="129" t="str">
        <f t="shared" si="14"/>
        <v xml:space="preserve"> - </v>
      </c>
      <c r="BG19" s="201" t="str">
        <f t="shared" si="11"/>
        <v xml:space="preserve"> - </v>
      </c>
      <c r="BH19" s="160">
        <v>0</v>
      </c>
      <c r="BI19" s="160"/>
      <c r="BJ19" s="207"/>
      <c r="BK19" s="160"/>
      <c r="BL19" s="160"/>
      <c r="BM19" s="160">
        <v>700</v>
      </c>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v>1262</v>
      </c>
      <c r="CO19" s="162">
        <v>700</v>
      </c>
      <c r="CP19" s="162">
        <v>1262</v>
      </c>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57" t="s">
        <v>827</v>
      </c>
      <c r="EP19" s="1147"/>
      <c r="EQ19" s="1147"/>
      <c r="ER19" s="1152">
        <v>875</v>
      </c>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16">SUBTOTAL(9,I15:I19)</f>
        <v>238</v>
      </c>
      <c r="J20" s="189">
        <f t="shared" si="16"/>
        <v>646</v>
      </c>
      <c r="K20" s="189">
        <f t="shared" si="16"/>
        <v>625</v>
      </c>
      <c r="L20" s="189">
        <f t="shared" si="16"/>
        <v>269</v>
      </c>
      <c r="M20" s="189">
        <f t="shared" si="16"/>
        <v>91</v>
      </c>
      <c r="N20" s="189">
        <f t="shared" si="16"/>
        <v>445</v>
      </c>
      <c r="O20" s="189">
        <f t="shared" si="16"/>
        <v>0</v>
      </c>
      <c r="P20" s="189">
        <f t="shared" si="16"/>
        <v>9</v>
      </c>
      <c r="Q20" s="189">
        <f t="shared" si="16"/>
        <v>32</v>
      </c>
      <c r="R20" s="189">
        <f t="shared" si="16"/>
        <v>30</v>
      </c>
      <c r="S20" s="189">
        <f t="shared" si="16"/>
        <v>231</v>
      </c>
      <c r="T20" s="189">
        <f t="shared" si="16"/>
        <v>566</v>
      </c>
      <c r="U20" s="189">
        <f t="shared" si="16"/>
        <v>585</v>
      </c>
      <c r="V20" s="189">
        <f t="shared" si="16"/>
        <v>212</v>
      </c>
      <c r="W20" s="189">
        <f t="shared" si="16"/>
        <v>75</v>
      </c>
      <c r="X20" s="189">
        <f t="shared" si="16"/>
        <v>409</v>
      </c>
      <c r="Y20" s="189">
        <f t="shared" si="16"/>
        <v>0</v>
      </c>
      <c r="Z20" s="189">
        <f t="shared" si="16"/>
        <v>0</v>
      </c>
      <c r="AA20" s="189">
        <f t="shared" si="16"/>
        <v>0</v>
      </c>
      <c r="AB20" s="189">
        <f t="shared" si="16"/>
        <v>0</v>
      </c>
      <c r="AC20" s="189">
        <f t="shared" si="16"/>
        <v>0</v>
      </c>
      <c r="AD20" s="189">
        <f t="shared" si="16"/>
        <v>0</v>
      </c>
      <c r="AE20" s="189">
        <f t="shared" si="16"/>
        <v>0</v>
      </c>
      <c r="AF20" s="189">
        <f t="shared" si="16"/>
        <v>0</v>
      </c>
      <c r="AG20" s="189">
        <f t="shared" si="16"/>
        <v>0</v>
      </c>
      <c r="AH20" s="189">
        <f t="shared" si="16"/>
        <v>0</v>
      </c>
      <c r="AI20" s="189">
        <f t="shared" si="16"/>
        <v>0</v>
      </c>
      <c r="AJ20" s="189">
        <f t="shared" si="16"/>
        <v>0</v>
      </c>
      <c r="AK20" s="189">
        <f t="shared" si="16"/>
        <v>0</v>
      </c>
      <c r="AL20" s="189">
        <f t="shared" si="16"/>
        <v>0</v>
      </c>
      <c r="AM20" s="189">
        <f t="shared" si="16"/>
        <v>0</v>
      </c>
      <c r="AN20" s="189">
        <f t="shared" si="16"/>
        <v>0</v>
      </c>
      <c r="AO20" s="189">
        <f t="shared" si="16"/>
        <v>3</v>
      </c>
      <c r="AP20" s="189">
        <f t="shared" si="16"/>
        <v>2</v>
      </c>
      <c r="AQ20" s="189">
        <f t="shared" si="16"/>
        <v>2</v>
      </c>
      <c r="AR20" s="189">
        <f t="shared" si="16"/>
        <v>2</v>
      </c>
      <c r="AS20" s="189">
        <f t="shared" si="16"/>
        <v>0</v>
      </c>
      <c r="AT20" s="189">
        <f t="shared" si="16"/>
        <v>0</v>
      </c>
      <c r="AU20" s="209"/>
      <c r="AV20" s="134"/>
      <c r="AW20" s="209"/>
      <c r="AX20" s="134"/>
      <c r="AY20" s="189">
        <f>SUBTOTAL(9,AY15:AY19)</f>
        <v>231</v>
      </c>
      <c r="AZ20" s="189">
        <f>SUBTOTAL(9,AZ15:AZ19)</f>
        <v>566</v>
      </c>
      <c r="BA20" s="189">
        <f>SUBTOTAL(9,BA15:BA19)</f>
        <v>585</v>
      </c>
      <c r="BB20" s="189">
        <f>SUBTOTAL(9,BB15:BB19)</f>
        <v>212</v>
      </c>
      <c r="BC20" s="189">
        <f>SUBTOTAL(9,BC15:BC19)</f>
        <v>75</v>
      </c>
      <c r="BD20" s="210">
        <f>IF(ISNUMBER(BA20/AZ20),BA20/AZ20," - ")</f>
        <v>1.0335689045936396</v>
      </c>
      <c r="BE20" s="211">
        <f>IF(ISNUMBER(BB20/BA20),BB20/BA20, " - ")</f>
        <v>0.36239316239316238</v>
      </c>
      <c r="BF20" s="211">
        <f>IF(ISNUMBER(BC20/BA20),BC20/BA20, " - ")</f>
        <v>0.12820512820512819</v>
      </c>
      <c r="BG20" s="212">
        <f>IF(ISNUMBER((AY20+AZ20)/BA20),(AY20+AZ20)/BA20," - ")</f>
        <v>1.3623931623931624</v>
      </c>
      <c r="BH20" s="189">
        <f>SUBTOTAL(9,BH15:BH19)</f>
        <v>3</v>
      </c>
      <c r="BI20" s="189">
        <f>SUBTOTAL(9,BI15:BI19)</f>
        <v>0</v>
      </c>
      <c r="BJ20" s="189">
        <f>SUBTOTAL(9,BJ15:BJ19)</f>
        <v>0</v>
      </c>
      <c r="BK20" s="189">
        <f>SUBTOTAL(9,BK15:BK19)</f>
        <v>0</v>
      </c>
      <c r="BL20" s="189">
        <f>SUBTOTAL(9,BL15:BL19)</f>
        <v>0</v>
      </c>
      <c r="BM20" s="145">
        <f>AVERAGE(BM16:BM19)</f>
        <v>2912.5</v>
      </c>
      <c r="BN20" s="156"/>
      <c r="BO20" s="156"/>
      <c r="BP20" s="156"/>
      <c r="BQ20" s="156"/>
      <c r="BR20" s="156"/>
      <c r="BS20" s="156"/>
      <c r="BT20" s="156"/>
      <c r="BU20" s="156"/>
      <c r="BV20" s="189"/>
      <c r="BW20" s="189"/>
      <c r="BX20" s="189"/>
      <c r="BY20" s="156"/>
      <c r="BZ20" s="156"/>
      <c r="CA20" s="189">
        <f t="shared" ref="CA20:CL20" si="17">SUBTOTAL(9,CA15:CA19)</f>
        <v>0</v>
      </c>
      <c r="CB20" s="189">
        <f t="shared" si="17"/>
        <v>0</v>
      </c>
      <c r="CC20" s="189">
        <f t="shared" si="17"/>
        <v>0</v>
      </c>
      <c r="CD20" s="189">
        <f t="shared" si="17"/>
        <v>0</v>
      </c>
      <c r="CE20" s="189">
        <f t="shared" si="17"/>
        <v>0</v>
      </c>
      <c r="CF20" s="189">
        <f t="shared" si="17"/>
        <v>0</v>
      </c>
      <c r="CG20" s="189">
        <f t="shared" si="17"/>
        <v>0</v>
      </c>
      <c r="CH20" s="189">
        <f t="shared" si="17"/>
        <v>0</v>
      </c>
      <c r="CI20" s="189">
        <f t="shared" si="17"/>
        <v>0</v>
      </c>
      <c r="CJ20" s="189">
        <f t="shared" si="17"/>
        <v>0</v>
      </c>
      <c r="CK20" s="189">
        <f t="shared" si="17"/>
        <v>0</v>
      </c>
      <c r="CL20" s="189">
        <f t="shared" si="17"/>
        <v>0</v>
      </c>
      <c r="CM20" s="301"/>
      <c r="CN20" s="156"/>
      <c r="CO20" s="156"/>
      <c r="CP20" s="156"/>
      <c r="CQ20" s="156"/>
      <c r="CR20" s="156"/>
      <c r="CS20" s="156"/>
      <c r="CT20" s="156"/>
      <c r="CU20" s="156"/>
      <c r="CV20" s="189">
        <f>SUBTOTAL(9,CV16:CV19)</f>
        <v>0</v>
      </c>
      <c r="CW20" s="189">
        <f>SUBTOTAL(9,CW16:CW19)</f>
        <v>0</v>
      </c>
      <c r="CX20" s="189"/>
      <c r="CY20" s="189">
        <f t="shared" ref="CY20:EN20" si="18">SUBTOTAL(9,CY16:CY19)</f>
        <v>0</v>
      </c>
      <c r="CZ20" s="189">
        <f t="shared" si="18"/>
        <v>0</v>
      </c>
      <c r="DA20" s="189">
        <f t="shared" si="18"/>
        <v>0</v>
      </c>
      <c r="DB20" s="189">
        <f t="shared" si="18"/>
        <v>0</v>
      </c>
      <c r="DC20" s="189">
        <f t="shared" si="18"/>
        <v>0</v>
      </c>
      <c r="DD20" s="189">
        <f t="shared" si="18"/>
        <v>0</v>
      </c>
      <c r="DE20" s="189">
        <f t="shared" si="18"/>
        <v>0</v>
      </c>
      <c r="DF20" s="189">
        <f t="shared" si="18"/>
        <v>0</v>
      </c>
      <c r="DG20" s="189">
        <f t="shared" si="18"/>
        <v>0</v>
      </c>
      <c r="DH20" s="189">
        <f t="shared" si="18"/>
        <v>0</v>
      </c>
      <c r="DI20" s="189">
        <f t="shared" si="18"/>
        <v>0</v>
      </c>
      <c r="DJ20" s="189">
        <f t="shared" si="18"/>
        <v>0</v>
      </c>
      <c r="DK20" s="189">
        <f t="shared" si="18"/>
        <v>0</v>
      </c>
      <c r="DL20" s="189">
        <f t="shared" si="18"/>
        <v>0</v>
      </c>
      <c r="DM20" s="189">
        <f t="shared" si="18"/>
        <v>0</v>
      </c>
      <c r="DN20" s="189">
        <f t="shared" si="18"/>
        <v>0</v>
      </c>
      <c r="DO20" s="189">
        <f t="shared" si="18"/>
        <v>0</v>
      </c>
      <c r="DP20" s="189">
        <f t="shared" si="18"/>
        <v>0</v>
      </c>
      <c r="DQ20" s="189">
        <f t="shared" si="18"/>
        <v>0</v>
      </c>
      <c r="DR20" s="189">
        <f t="shared" si="18"/>
        <v>0</v>
      </c>
      <c r="DS20" s="189">
        <f t="shared" si="18"/>
        <v>0</v>
      </c>
      <c r="DT20" s="189">
        <f t="shared" si="18"/>
        <v>0</v>
      </c>
      <c r="DU20" s="189">
        <f t="shared" si="18"/>
        <v>0</v>
      </c>
      <c r="DV20" s="745">
        <f t="shared" si="18"/>
        <v>0</v>
      </c>
      <c r="DW20" s="745">
        <f t="shared" si="18"/>
        <v>0</v>
      </c>
      <c r="DX20" s="745">
        <f t="shared" si="18"/>
        <v>0</v>
      </c>
      <c r="DY20" s="745">
        <f t="shared" si="18"/>
        <v>0</v>
      </c>
      <c r="DZ20" s="189">
        <f t="shared" si="18"/>
        <v>0</v>
      </c>
      <c r="EA20" s="189">
        <f t="shared" si="18"/>
        <v>0</v>
      </c>
      <c r="EB20" s="189">
        <f t="shared" si="18"/>
        <v>0</v>
      </c>
      <c r="EC20" s="189">
        <f t="shared" si="18"/>
        <v>0</v>
      </c>
      <c r="ED20" s="189">
        <f t="shared" si="18"/>
        <v>0</v>
      </c>
      <c r="EE20" s="189">
        <f t="shared" si="18"/>
        <v>0</v>
      </c>
      <c r="EF20" s="189">
        <f t="shared" si="18"/>
        <v>0</v>
      </c>
      <c r="EG20" s="189">
        <f t="shared" si="18"/>
        <v>0</v>
      </c>
      <c r="EH20" s="189">
        <f t="shared" si="18"/>
        <v>0</v>
      </c>
      <c r="EI20" s="189">
        <f t="shared" si="18"/>
        <v>0</v>
      </c>
      <c r="EJ20" s="189">
        <f t="shared" si="18"/>
        <v>0</v>
      </c>
      <c r="EK20" s="189">
        <f t="shared" si="18"/>
        <v>0</v>
      </c>
      <c r="EL20" s="189">
        <f t="shared" si="18"/>
        <v>0</v>
      </c>
      <c r="EM20" s="189">
        <f t="shared" si="18"/>
        <v>0</v>
      </c>
      <c r="EN20" s="189">
        <f t="shared" si="18"/>
        <v>0</v>
      </c>
      <c r="EO20" s="1155"/>
      <c r="EP20" s="745">
        <f>SUBTOTAL(9,EP16:EP19)</f>
        <v>0</v>
      </c>
      <c r="EQ20" s="745">
        <f>SUBTOTAL(9,EQ16:EQ19)</f>
        <v>0</v>
      </c>
      <c r="ER20" s="156">
        <f>AVERAGE(ER16:ER19)</f>
        <v>1693.75</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19">SUBTOTAL(9,I9:I20)</f>
        <v>1240</v>
      </c>
      <c r="J21" s="136">
        <f t="shared" si="19"/>
        <v>976</v>
      </c>
      <c r="K21" s="136">
        <f t="shared" si="19"/>
        <v>903</v>
      </c>
      <c r="L21" s="136">
        <f t="shared" si="19"/>
        <v>1323</v>
      </c>
      <c r="M21" s="136">
        <f t="shared" si="19"/>
        <v>175</v>
      </c>
      <c r="N21" s="136">
        <f t="shared" si="19"/>
        <v>559</v>
      </c>
      <c r="O21" s="136">
        <f t="shared" si="19"/>
        <v>141</v>
      </c>
      <c r="P21" s="136">
        <f t="shared" si="19"/>
        <v>86</v>
      </c>
      <c r="Q21" s="136">
        <f t="shared" si="19"/>
        <v>65</v>
      </c>
      <c r="R21" s="136">
        <f t="shared" si="19"/>
        <v>1393</v>
      </c>
      <c r="S21" s="136">
        <f t="shared" si="19"/>
        <v>987</v>
      </c>
      <c r="T21" s="136">
        <f t="shared" si="19"/>
        <v>826</v>
      </c>
      <c r="U21" s="136">
        <f t="shared" si="19"/>
        <v>835</v>
      </c>
      <c r="V21" s="136">
        <f t="shared" si="19"/>
        <v>978</v>
      </c>
      <c r="W21" s="136">
        <f t="shared" si="19"/>
        <v>165</v>
      </c>
      <c r="X21" s="136">
        <f t="shared" si="19"/>
        <v>475</v>
      </c>
      <c r="Y21" s="136">
        <f t="shared" si="19"/>
        <v>34</v>
      </c>
      <c r="Z21" s="136">
        <f t="shared" si="19"/>
        <v>27</v>
      </c>
      <c r="AA21" s="136">
        <f t="shared" si="19"/>
        <v>37</v>
      </c>
      <c r="AB21" s="136">
        <f t="shared" si="19"/>
        <v>24</v>
      </c>
      <c r="AC21" s="136">
        <f t="shared" si="19"/>
        <v>0</v>
      </c>
      <c r="AD21" s="136">
        <f t="shared" si="19"/>
        <v>0</v>
      </c>
      <c r="AE21" s="136">
        <f t="shared" si="19"/>
        <v>0</v>
      </c>
      <c r="AF21" s="136">
        <f t="shared" si="19"/>
        <v>0</v>
      </c>
      <c r="AG21" s="136">
        <f t="shared" si="19"/>
        <v>28</v>
      </c>
      <c r="AH21" s="136">
        <f t="shared" si="19"/>
        <v>28</v>
      </c>
      <c r="AI21" s="136">
        <f t="shared" si="19"/>
        <v>25</v>
      </c>
      <c r="AJ21" s="136">
        <f t="shared" si="19"/>
        <v>31</v>
      </c>
      <c r="AK21" s="136">
        <f t="shared" si="19"/>
        <v>0</v>
      </c>
      <c r="AL21" s="136">
        <f t="shared" si="19"/>
        <v>0</v>
      </c>
      <c r="AM21" s="136">
        <f t="shared" si="19"/>
        <v>0</v>
      </c>
      <c r="AN21" s="215">
        <f t="shared" si="19"/>
        <v>0</v>
      </c>
      <c r="AO21" s="216">
        <v>3</v>
      </c>
      <c r="AP21" s="216">
        <v>2</v>
      </c>
      <c r="AQ21" s="216">
        <v>2</v>
      </c>
      <c r="AR21" s="216">
        <v>2</v>
      </c>
      <c r="AS21" s="158">
        <f t="shared" si="19"/>
        <v>0</v>
      </c>
      <c r="AT21" s="158">
        <f t="shared" si="19"/>
        <v>0</v>
      </c>
      <c r="AU21" s="216"/>
      <c r="AV21" s="217"/>
      <c r="AW21" s="216"/>
      <c r="AX21" s="217"/>
      <c r="AY21" s="135">
        <f>SUBTOTAL(9,AY9:AY20)</f>
        <v>1015</v>
      </c>
      <c r="AZ21" s="136">
        <f>SUBTOTAL(9,AZ9:AZ20)</f>
        <v>854</v>
      </c>
      <c r="BA21" s="136">
        <f>SUBTOTAL(9,BA9:BA20)</f>
        <v>860</v>
      </c>
      <c r="BB21" s="136">
        <f>SUBTOTAL(9,BB9:BB20)</f>
        <v>1009</v>
      </c>
      <c r="BC21" s="137">
        <f>SUBTOTAL(9,BC9:BC20)</f>
        <v>144</v>
      </c>
      <c r="BD21" s="218">
        <f>IF(ISNUMBER(BA21/AZ21),BA21/AZ21," - ")</f>
        <v>1.0070257611241218</v>
      </c>
      <c r="BE21" s="215">
        <f>IF(ISNUMBER(BB21/BA21),BB21/BA21, " - ")</f>
        <v>1.1732558139534883</v>
      </c>
      <c r="BF21" s="215">
        <f>IF(ISNUMBER(BC21/BA21),BC21/BA21, " - ")</f>
        <v>0.16744186046511628</v>
      </c>
      <c r="BG21" s="137">
        <f>IF(ISNUMBER((AY21+AZ21)/BA21),(AY21+AZ21)/BA21," - ")</f>
        <v>2.1732558139534883</v>
      </c>
      <c r="BH21" s="216">
        <f>SUBTOTAL(9,BH9:BH20)</f>
        <v>6</v>
      </c>
      <c r="BI21" s="216">
        <v>0</v>
      </c>
      <c r="BJ21" s="216"/>
      <c r="BK21" s="216">
        <f>SUBTOTAL(9,BK9:BK20)</f>
        <v>0</v>
      </c>
      <c r="BL21" s="216"/>
      <c r="BM21" s="216">
        <f>AVERAGE(BM9:BM20)</f>
        <v>1552.9545454545455</v>
      </c>
      <c r="BN21" s="216"/>
      <c r="BO21" s="216"/>
      <c r="BP21" s="216"/>
      <c r="BQ21" s="216"/>
      <c r="BR21" s="216"/>
      <c r="BS21" s="216"/>
      <c r="BT21" s="216"/>
      <c r="BU21" s="216"/>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f>SUBTOTAL(9,CN9:CN20)</f>
        <v>11628.2</v>
      </c>
      <c r="CO21" s="216">
        <f>SUBTOTAL(9,CO9:CO20)</f>
        <v>17730</v>
      </c>
      <c r="CP21" s="216">
        <f>SUBTOTAL(9,CP9:CP20)</f>
        <v>11628.2</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N21" si="20">SUBTOTAL(9,DM9:DM20)</f>
        <v>0</v>
      </c>
      <c r="DN21" s="158">
        <f t="shared" si="20"/>
        <v>0</v>
      </c>
      <c r="DO21" s="158">
        <f t="shared" si="20"/>
        <v>0</v>
      </c>
      <c r="DP21" s="158">
        <f t="shared" si="20"/>
        <v>0</v>
      </c>
      <c r="DQ21" s="158">
        <f t="shared" si="20"/>
        <v>0</v>
      </c>
      <c r="DR21" s="158">
        <f t="shared" si="20"/>
        <v>0</v>
      </c>
      <c r="DS21" s="158">
        <f t="shared" si="20"/>
        <v>0</v>
      </c>
      <c r="DT21" s="158">
        <f t="shared" si="20"/>
        <v>0</v>
      </c>
      <c r="DU21" s="158">
        <f t="shared" si="20"/>
        <v>0</v>
      </c>
      <c r="DV21" s="158">
        <f t="shared" si="20"/>
        <v>0</v>
      </c>
      <c r="DW21" s="158">
        <f t="shared" si="20"/>
        <v>0</v>
      </c>
      <c r="DX21" s="158">
        <f t="shared" si="20"/>
        <v>0</v>
      </c>
      <c r="DY21" s="158">
        <f t="shared" si="20"/>
        <v>0</v>
      </c>
      <c r="DZ21" s="158">
        <f t="shared" si="20"/>
        <v>0</v>
      </c>
      <c r="EA21" s="158">
        <f t="shared" si="20"/>
        <v>0</v>
      </c>
      <c r="EB21" s="158">
        <f t="shared" si="20"/>
        <v>0</v>
      </c>
      <c r="EC21" s="158">
        <f t="shared" si="20"/>
        <v>0</v>
      </c>
      <c r="ED21" s="158">
        <f t="shared" si="20"/>
        <v>0</v>
      </c>
      <c r="EE21" s="158">
        <f t="shared" si="20"/>
        <v>0</v>
      </c>
      <c r="EF21" s="158">
        <f t="shared" si="20"/>
        <v>0</v>
      </c>
      <c r="EG21" s="158">
        <f t="shared" si="20"/>
        <v>0</v>
      </c>
      <c r="EH21" s="158">
        <f t="shared" si="20"/>
        <v>0</v>
      </c>
      <c r="EI21" s="158">
        <f t="shared" si="20"/>
        <v>0</v>
      </c>
      <c r="EJ21" s="158">
        <f t="shared" si="20"/>
        <v>0</v>
      </c>
      <c r="EK21" s="158">
        <f t="shared" si="20"/>
        <v>0</v>
      </c>
      <c r="EL21" s="158">
        <f t="shared" si="20"/>
        <v>0</v>
      </c>
      <c r="EM21" s="158">
        <f t="shared" si="20"/>
        <v>0</v>
      </c>
      <c r="EN21" s="158">
        <f t="shared" si="20"/>
        <v>0</v>
      </c>
      <c r="EO21" s="1158"/>
      <c r="EP21" s="158">
        <f>SUBTOTAL(9,EP9:EP20)</f>
        <v>0</v>
      </c>
      <c r="EQ21" s="158">
        <f>SUBTOTAL(9,EQ9:EQ20)</f>
        <v>0</v>
      </c>
      <c r="ER21" s="156">
        <f>AVERAGE(ER9:ER20)</f>
        <v>1374.340909090909</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N3O20vFP/szRsJnvjDPNyVZscdYnjTKNkyF/EQmJe1d7ZZFuliVnv6h8Rg0IcXQtKnfVlcTphQqRK26bo0IVGA==" saltValue="ZlvpLSfCZ3ZYSyd1QrrTO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12:BI13 BJ11:BJ13 BJ16:BJ19 BV11:BX11 CA11:CD11 CK16:CR18 CS18:CU18 CS16:CU16 CS12:CU13 CK11:CR13 AO10 AQ10 AO12:AR13 AQ18 AO16:AR16 Y13:AB13 Y10:AB10 S16:AN19 S9:X13 AC10:AN13 AC9:AX9 BT17:BU17 BK18:BX18 CA18:CJ18 AS9:AX13 AS16:AX19 BK12:BX13 CA12:CJ13 CV16:DG19 DH16:DL18 CV11:DL13 BJ10:DL10 BK16:CJ16 BH9:EA9 EB16:EK19 EO10 EO13 EO18:EO19 EP9:EQ13 EP16:EQ19 EV9:EW13 EV16:EW19 DF9:DF13 DM10:EN13 ES9:ES13 EX10:EY13">
    <cfRule type="cellIs" dxfId="1697" priority="2275" stopIfTrue="1" operator="equal">
      <formula>$A$33</formula>
    </cfRule>
  </conditionalFormatting>
  <conditionalFormatting sqref="BD15:BG15 I8:DF8 I1:DG1 BH20:EJ20 I20:BC20 I14:BC15 DJ8 BH14:DL15 I21:DL21 EM14:EN14 EP15:EQ15 EO14:EO15 EO20:EO21 EV15:EW15 EV20:EW20 EX21:EY21">
    <cfRule type="cellIs" dxfId="1696" priority="2276"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P11:EQ11 EP17:EQ17 EO19:EQ19 ES19 EV17:EW17 EV19:EW19">
    <cfRule type="cellIs" dxfId="1695" priority="2277" stopIfTrue="1" operator="equal">
      <formula>$A$32</formula>
    </cfRule>
  </conditionalFormatting>
  <conditionalFormatting sqref="BT17:BU17">
    <cfRule type="cellIs" dxfId="1694" priority="2081" stopIfTrue="1" operator="equal">
      <formula>$A$33</formula>
    </cfRule>
  </conditionalFormatting>
  <conditionalFormatting sqref="DE17">
    <cfRule type="cellIs" dxfId="1693" priority="2078" stopIfTrue="1" operator="equal">
      <formula>$A$32</formula>
    </cfRule>
  </conditionalFormatting>
  <conditionalFormatting sqref="BN17:BU17">
    <cfRule type="cellIs" dxfId="1692" priority="2075" stopIfTrue="1" operator="equal">
      <formula>$A$32</formula>
    </cfRule>
  </conditionalFormatting>
  <conditionalFormatting sqref="BN13:BO13">
    <cfRule type="cellIs" dxfId="1691" priority="2073" stopIfTrue="1" operator="equal">
      <formula>$A$32</formula>
    </cfRule>
  </conditionalFormatting>
  <conditionalFormatting sqref="BT13:BU13">
    <cfRule type="cellIs" dxfId="1690" priority="2072" stopIfTrue="1" operator="equal">
      <formula>$A$32</formula>
    </cfRule>
  </conditionalFormatting>
  <conditionalFormatting sqref="DB17:DE17">
    <cfRule type="cellIs" dxfId="1689" priority="2068" stopIfTrue="1" operator="equal">
      <formula>$A$32</formula>
    </cfRule>
  </conditionalFormatting>
  <conditionalFormatting sqref="DB17:DE17">
    <cfRule type="cellIs" dxfId="1688" priority="2064" stopIfTrue="1" operator="equal">
      <formula>$A$32</formula>
    </cfRule>
  </conditionalFormatting>
  <conditionalFormatting sqref="DB16">
    <cfRule type="cellIs" dxfId="1687" priority="2062" stopIfTrue="1" operator="equal">
      <formula>$A$32</formula>
    </cfRule>
  </conditionalFormatting>
  <conditionalFormatting sqref="DE18">
    <cfRule type="cellIs" dxfId="1686" priority="2061" stopIfTrue="1" operator="equal">
      <formula>$A$32</formula>
    </cfRule>
  </conditionalFormatting>
  <conditionalFormatting sqref="DB16:DE19">
    <cfRule type="cellIs" dxfId="1685" priority="2057" stopIfTrue="1" operator="equal">
      <formula>$A$33</formula>
    </cfRule>
  </conditionalFormatting>
  <conditionalFormatting sqref="DB14:DE15">
    <cfRule type="cellIs" dxfId="1684" priority="2056" stopIfTrue="1" operator="equal">
      <formula>$A$33</formula>
    </cfRule>
  </conditionalFormatting>
  <conditionalFormatting sqref="DB17:DE17">
    <cfRule type="cellIs" dxfId="1683" priority="2055" stopIfTrue="1" operator="equal">
      <formula>$A$32</formula>
    </cfRule>
  </conditionalFormatting>
  <conditionalFormatting sqref="DB16:DE19">
    <cfRule type="cellIs" dxfId="1682" priority="2053" stopIfTrue="1" operator="equal">
      <formula>$A$33</formula>
    </cfRule>
  </conditionalFormatting>
  <conditionalFormatting sqref="DB14:DE15">
    <cfRule type="cellIs" dxfId="1681" priority="2052" stopIfTrue="1" operator="equal">
      <formula>$A$33</formula>
    </cfRule>
  </conditionalFormatting>
  <conditionalFormatting sqref="DB17:DE17">
    <cfRule type="cellIs" dxfId="1680" priority="2051" stopIfTrue="1" operator="equal">
      <formula>$A$32</formula>
    </cfRule>
  </conditionalFormatting>
  <conditionalFormatting sqref="DB16">
    <cfRule type="cellIs" dxfId="1679" priority="2049" stopIfTrue="1" operator="equal">
      <formula>$A$32</formula>
    </cfRule>
  </conditionalFormatting>
  <conditionalFormatting sqref="DE18">
    <cfRule type="cellIs" dxfId="1678" priority="2048" stopIfTrue="1" operator="equal">
      <formula>$A$32</formula>
    </cfRule>
  </conditionalFormatting>
  <conditionalFormatting sqref="DB13">
    <cfRule type="cellIs" dxfId="1677" priority="2046" stopIfTrue="1" operator="equal">
      <formula>$A$33</formula>
    </cfRule>
  </conditionalFormatting>
  <conditionalFormatting sqref="DB13">
    <cfRule type="cellIs" dxfId="1676" priority="2045" stopIfTrue="1" operator="equal">
      <formula>$A$33</formula>
    </cfRule>
  </conditionalFormatting>
  <conditionalFormatting sqref="DB13">
    <cfRule type="cellIs" dxfId="1675" priority="2044" stopIfTrue="1" operator="equal">
      <formula>$A$33</formula>
    </cfRule>
  </conditionalFormatting>
  <conditionalFormatting sqref="DB13">
    <cfRule type="cellIs" dxfId="1674" priority="2043" stopIfTrue="1" operator="equal">
      <formula>$A$33</formula>
    </cfRule>
  </conditionalFormatting>
  <conditionalFormatting sqref="DB13">
    <cfRule type="cellIs" dxfId="1673" priority="2042" stopIfTrue="1" operator="equal">
      <formula>$A$33</formula>
    </cfRule>
  </conditionalFormatting>
  <conditionalFormatting sqref="DB13">
    <cfRule type="cellIs" dxfId="1672" priority="2041" stopIfTrue="1" operator="equal">
      <formula>$A$33</formula>
    </cfRule>
  </conditionalFormatting>
  <conditionalFormatting sqref="DF1:DG1">
    <cfRule type="cellIs" dxfId="1671" priority="2040" stopIfTrue="1" operator="equal">
      <formula>$A$33</formula>
    </cfRule>
  </conditionalFormatting>
  <conditionalFormatting sqref="DF17">
    <cfRule type="cellIs" dxfId="1670" priority="2037" stopIfTrue="1" operator="equal">
      <formula>$A$32</formula>
    </cfRule>
  </conditionalFormatting>
  <conditionalFormatting sqref="DF17">
    <cfRule type="cellIs" dxfId="1669" priority="2034" stopIfTrue="1" operator="equal">
      <formula>$A$32</formula>
    </cfRule>
  </conditionalFormatting>
  <conditionalFormatting sqref="DF17">
    <cfRule type="cellIs" dxfId="1668" priority="2031" stopIfTrue="1" operator="equal">
      <formula>$A$32</formula>
    </cfRule>
  </conditionalFormatting>
  <conditionalFormatting sqref="DF18">
    <cfRule type="cellIs" dxfId="1667" priority="2030" stopIfTrue="1" operator="equal">
      <formula>$A$32</formula>
    </cfRule>
  </conditionalFormatting>
  <conditionalFormatting sqref="DF16:DF19">
    <cfRule type="cellIs" dxfId="1666" priority="2026" stopIfTrue="1" operator="equal">
      <formula>$A$33</formula>
    </cfRule>
  </conditionalFormatting>
  <conditionalFormatting sqref="DF14:DF15">
    <cfRule type="cellIs" dxfId="1665" priority="2025" stopIfTrue="1" operator="equal">
      <formula>$A$33</formula>
    </cfRule>
  </conditionalFormatting>
  <conditionalFormatting sqref="DF17">
    <cfRule type="cellIs" dxfId="1664" priority="2024" stopIfTrue="1" operator="equal">
      <formula>$A$32</formula>
    </cfRule>
  </conditionalFormatting>
  <conditionalFormatting sqref="DF16:DF19">
    <cfRule type="cellIs" dxfId="1663" priority="2023" stopIfTrue="1" operator="equal">
      <formula>$A$33</formula>
    </cfRule>
  </conditionalFormatting>
  <conditionalFormatting sqref="DF14:DF15">
    <cfRule type="cellIs" dxfId="1662" priority="2022" stopIfTrue="1" operator="equal">
      <formula>$A$33</formula>
    </cfRule>
  </conditionalFormatting>
  <conditionalFormatting sqref="DF17">
    <cfRule type="cellIs" dxfId="1661" priority="2021" stopIfTrue="1" operator="equal">
      <formula>$A$32</formula>
    </cfRule>
  </conditionalFormatting>
  <conditionalFormatting sqref="DF18">
    <cfRule type="cellIs" dxfId="1660" priority="2020" stopIfTrue="1" operator="equal">
      <formula>$A$32</formula>
    </cfRule>
  </conditionalFormatting>
  <conditionalFormatting sqref="DB17:DE17">
    <cfRule type="cellIs" dxfId="1659" priority="2016" stopIfTrue="1" operator="equal">
      <formula>$A$32</formula>
    </cfRule>
  </conditionalFormatting>
  <conditionalFormatting sqref="DB17:DE17">
    <cfRule type="cellIs" dxfId="1658" priority="2012" stopIfTrue="1" operator="equal">
      <formula>$A$32</formula>
    </cfRule>
  </conditionalFormatting>
  <conditionalFormatting sqref="DB16">
    <cfRule type="cellIs" dxfId="1657" priority="2010" stopIfTrue="1" operator="equal">
      <formula>$A$32</formula>
    </cfRule>
  </conditionalFormatting>
  <conditionalFormatting sqref="DE18">
    <cfRule type="cellIs" dxfId="1656" priority="2009" stopIfTrue="1" operator="equal">
      <formula>$A$32</formula>
    </cfRule>
  </conditionalFormatting>
  <conditionalFormatting sqref="DB13">
    <cfRule type="cellIs" dxfId="1655" priority="2005" stopIfTrue="1" operator="equal">
      <formula>$A$33</formula>
    </cfRule>
  </conditionalFormatting>
  <conditionalFormatting sqref="DB13">
    <cfRule type="cellIs" dxfId="1654" priority="2004" stopIfTrue="1" operator="equal">
      <formula>$A$33</formula>
    </cfRule>
  </conditionalFormatting>
  <conditionalFormatting sqref="DB13">
    <cfRule type="cellIs" dxfId="1653" priority="2003" stopIfTrue="1" operator="equal">
      <formula>$A$33</formula>
    </cfRule>
  </conditionalFormatting>
  <conditionalFormatting sqref="DB13">
    <cfRule type="cellIs" dxfId="1652" priority="2002" stopIfTrue="1" operator="equal">
      <formula>$A$33</formula>
    </cfRule>
  </conditionalFormatting>
  <conditionalFormatting sqref="DB13">
    <cfRule type="cellIs" dxfId="1651" priority="2001" stopIfTrue="1" operator="equal">
      <formula>$A$33</formula>
    </cfRule>
  </conditionalFormatting>
  <conditionalFormatting sqref="DB13">
    <cfRule type="cellIs" dxfId="1650" priority="2000" stopIfTrue="1" operator="equal">
      <formula>$A$33</formula>
    </cfRule>
  </conditionalFormatting>
  <conditionalFormatting sqref="DF17">
    <cfRule type="cellIs" dxfId="1649" priority="1997" stopIfTrue="1" operator="equal">
      <formula>$A$32</formula>
    </cfRule>
  </conditionalFormatting>
  <conditionalFormatting sqref="DF17">
    <cfRule type="cellIs" dxfId="1648" priority="1994" stopIfTrue="1" operator="equal">
      <formula>$A$32</formula>
    </cfRule>
  </conditionalFormatting>
  <conditionalFormatting sqref="DF17">
    <cfRule type="cellIs" dxfId="1647" priority="1991" stopIfTrue="1" operator="equal">
      <formula>$A$32</formula>
    </cfRule>
  </conditionalFormatting>
  <conditionalFormatting sqref="DF18">
    <cfRule type="cellIs" dxfId="1646" priority="1990" stopIfTrue="1" operator="equal">
      <formula>$A$32</formula>
    </cfRule>
  </conditionalFormatting>
  <conditionalFormatting sqref="DF14:DF15">
    <cfRule type="cellIs" dxfId="1645" priority="1985" stopIfTrue="1" operator="equal">
      <formula>$A$33</formula>
    </cfRule>
  </conditionalFormatting>
  <conditionalFormatting sqref="DF17">
    <cfRule type="cellIs" dxfId="1644" priority="1984" stopIfTrue="1" operator="equal">
      <formula>$A$32</formula>
    </cfRule>
  </conditionalFormatting>
  <conditionalFormatting sqref="DF14:DF15">
    <cfRule type="cellIs" dxfId="1643" priority="1982" stopIfTrue="1" operator="equal">
      <formula>$A$33</formula>
    </cfRule>
  </conditionalFormatting>
  <conditionalFormatting sqref="DF17">
    <cfRule type="cellIs" dxfId="1642" priority="1981" stopIfTrue="1" operator="equal">
      <formula>$A$32</formula>
    </cfRule>
  </conditionalFormatting>
  <conditionalFormatting sqref="DF18">
    <cfRule type="cellIs" dxfId="1641" priority="1980" stopIfTrue="1" operator="equal">
      <formula>$A$32</formula>
    </cfRule>
  </conditionalFormatting>
  <conditionalFormatting sqref="DB17:DE17">
    <cfRule type="cellIs" dxfId="1640" priority="1973" stopIfTrue="1" operator="equal">
      <formula>$A$32</formula>
    </cfRule>
  </conditionalFormatting>
  <conditionalFormatting sqref="DB17:DE17">
    <cfRule type="cellIs" dxfId="1639" priority="1969" stopIfTrue="1" operator="equal">
      <formula>$A$32</formula>
    </cfRule>
  </conditionalFormatting>
  <conditionalFormatting sqref="DB16">
    <cfRule type="cellIs" dxfId="1638" priority="1967" stopIfTrue="1" operator="equal">
      <formula>$A$32</formula>
    </cfRule>
  </conditionalFormatting>
  <conditionalFormatting sqref="DE18">
    <cfRule type="cellIs" dxfId="1637" priority="1966" stopIfTrue="1" operator="equal">
      <formula>$A$32</formula>
    </cfRule>
  </conditionalFormatting>
  <conditionalFormatting sqref="DB13">
    <cfRule type="cellIs" dxfId="1636" priority="1962" stopIfTrue="1" operator="equal">
      <formula>$A$33</formula>
    </cfRule>
  </conditionalFormatting>
  <conditionalFormatting sqref="DB13">
    <cfRule type="cellIs" dxfId="1635" priority="1961" stopIfTrue="1" operator="equal">
      <formula>$A$33</formula>
    </cfRule>
  </conditionalFormatting>
  <conditionalFormatting sqref="DB13">
    <cfRule type="cellIs" dxfId="1634" priority="1960" stopIfTrue="1" operator="equal">
      <formula>$A$33</formula>
    </cfRule>
  </conditionalFormatting>
  <conditionalFormatting sqref="DB13">
    <cfRule type="cellIs" dxfId="1633" priority="1959" stopIfTrue="1" operator="equal">
      <formula>$A$33</formula>
    </cfRule>
  </conditionalFormatting>
  <conditionalFormatting sqref="DB13">
    <cfRule type="cellIs" dxfId="1632" priority="1958" stopIfTrue="1" operator="equal">
      <formula>$A$33</formula>
    </cfRule>
  </conditionalFormatting>
  <conditionalFormatting sqref="DB13">
    <cfRule type="cellIs" dxfId="1631" priority="1957" stopIfTrue="1" operator="equal">
      <formula>$A$33</formula>
    </cfRule>
  </conditionalFormatting>
  <conditionalFormatting sqref="DF17">
    <cfRule type="cellIs" dxfId="1630" priority="1954" stopIfTrue="1" operator="equal">
      <formula>$A$32</formula>
    </cfRule>
  </conditionalFormatting>
  <conditionalFormatting sqref="DF17">
    <cfRule type="cellIs" dxfId="1629" priority="1951" stopIfTrue="1" operator="equal">
      <formula>$A$32</formula>
    </cfRule>
  </conditionalFormatting>
  <conditionalFormatting sqref="DF17">
    <cfRule type="cellIs" dxfId="1628" priority="1948" stopIfTrue="1" operator="equal">
      <formula>$A$32</formula>
    </cfRule>
  </conditionalFormatting>
  <conditionalFormatting sqref="DF18">
    <cfRule type="cellIs" dxfId="1627" priority="1947" stopIfTrue="1" operator="equal">
      <formula>$A$32</formula>
    </cfRule>
  </conditionalFormatting>
  <conditionalFormatting sqref="DF14:DF15">
    <cfRule type="cellIs" dxfId="1626" priority="1942" stopIfTrue="1" operator="equal">
      <formula>$A$33</formula>
    </cfRule>
  </conditionalFormatting>
  <conditionalFormatting sqref="DF17">
    <cfRule type="cellIs" dxfId="1625" priority="1941" stopIfTrue="1" operator="equal">
      <formula>$A$32</formula>
    </cfRule>
  </conditionalFormatting>
  <conditionalFormatting sqref="DF14:DF15">
    <cfRule type="cellIs" dxfId="1624" priority="1939" stopIfTrue="1" operator="equal">
      <formula>$A$33</formula>
    </cfRule>
  </conditionalFormatting>
  <conditionalFormatting sqref="DF17">
    <cfRule type="cellIs" dxfId="1623" priority="1938" stopIfTrue="1" operator="equal">
      <formula>$A$32</formula>
    </cfRule>
  </conditionalFormatting>
  <conditionalFormatting sqref="DF18">
    <cfRule type="cellIs" dxfId="1622" priority="1937" stopIfTrue="1" operator="equal">
      <formula>$A$32</formula>
    </cfRule>
  </conditionalFormatting>
  <conditionalFormatting sqref="DB17:DE17">
    <cfRule type="cellIs" dxfId="1621" priority="1933" stopIfTrue="1" operator="equal">
      <formula>$A$32</formula>
    </cfRule>
  </conditionalFormatting>
  <conditionalFormatting sqref="DB17:DE17">
    <cfRule type="cellIs" dxfId="1620" priority="1929" stopIfTrue="1" operator="equal">
      <formula>$A$32</formula>
    </cfRule>
  </conditionalFormatting>
  <conditionalFormatting sqref="DB16">
    <cfRule type="cellIs" dxfId="1619" priority="1927" stopIfTrue="1" operator="equal">
      <formula>$A$32</formula>
    </cfRule>
  </conditionalFormatting>
  <conditionalFormatting sqref="DE18">
    <cfRule type="cellIs" dxfId="1618" priority="1926" stopIfTrue="1" operator="equal">
      <formula>$A$32</formula>
    </cfRule>
  </conditionalFormatting>
  <conditionalFormatting sqref="DB13">
    <cfRule type="cellIs" dxfId="1617" priority="1922" stopIfTrue="1" operator="equal">
      <formula>$A$33</formula>
    </cfRule>
  </conditionalFormatting>
  <conditionalFormatting sqref="DB13">
    <cfRule type="cellIs" dxfId="1616" priority="1921" stopIfTrue="1" operator="equal">
      <formula>$A$33</formula>
    </cfRule>
  </conditionalFormatting>
  <conditionalFormatting sqref="DB13">
    <cfRule type="cellIs" dxfId="1615" priority="1920" stopIfTrue="1" operator="equal">
      <formula>$A$33</formula>
    </cfRule>
  </conditionalFormatting>
  <conditionalFormatting sqref="DB13">
    <cfRule type="cellIs" dxfId="1614" priority="1919" stopIfTrue="1" operator="equal">
      <formula>$A$33</formula>
    </cfRule>
  </conditionalFormatting>
  <conditionalFormatting sqref="DB13">
    <cfRule type="cellIs" dxfId="1613" priority="1918" stopIfTrue="1" operator="equal">
      <formula>$A$33</formula>
    </cfRule>
  </conditionalFormatting>
  <conditionalFormatting sqref="DB13">
    <cfRule type="cellIs" dxfId="1612" priority="1917" stopIfTrue="1" operator="equal">
      <formula>$A$33</formula>
    </cfRule>
  </conditionalFormatting>
  <conditionalFormatting sqref="DF17">
    <cfRule type="cellIs" dxfId="1611" priority="1914" stopIfTrue="1" operator="equal">
      <formula>$A$32</formula>
    </cfRule>
  </conditionalFormatting>
  <conditionalFormatting sqref="DF17">
    <cfRule type="cellIs" dxfId="1610" priority="1911" stopIfTrue="1" operator="equal">
      <formula>$A$32</formula>
    </cfRule>
  </conditionalFormatting>
  <conditionalFormatting sqref="DF17">
    <cfRule type="cellIs" dxfId="1609" priority="1908" stopIfTrue="1" operator="equal">
      <formula>$A$32</formula>
    </cfRule>
  </conditionalFormatting>
  <conditionalFormatting sqref="DF18">
    <cfRule type="cellIs" dxfId="1608" priority="1907" stopIfTrue="1" operator="equal">
      <formula>$A$32</formula>
    </cfRule>
  </conditionalFormatting>
  <conditionalFormatting sqref="DF14:DF15">
    <cfRule type="cellIs" dxfId="1607" priority="1902" stopIfTrue="1" operator="equal">
      <formula>$A$33</formula>
    </cfRule>
  </conditionalFormatting>
  <conditionalFormatting sqref="DF17">
    <cfRule type="cellIs" dxfId="1606" priority="1901" stopIfTrue="1" operator="equal">
      <formula>$A$32</formula>
    </cfRule>
  </conditionalFormatting>
  <conditionalFormatting sqref="DF14:DF15">
    <cfRule type="cellIs" dxfId="1605" priority="1899" stopIfTrue="1" operator="equal">
      <formula>$A$33</formula>
    </cfRule>
  </conditionalFormatting>
  <conditionalFormatting sqref="DF17">
    <cfRule type="cellIs" dxfId="1604" priority="1898" stopIfTrue="1" operator="equal">
      <formula>$A$32</formula>
    </cfRule>
  </conditionalFormatting>
  <conditionalFormatting sqref="DF18">
    <cfRule type="cellIs" dxfId="1603" priority="1897" stopIfTrue="1" operator="equal">
      <formula>$A$32</formula>
    </cfRule>
  </conditionalFormatting>
  <conditionalFormatting sqref="DB17:DE17">
    <cfRule type="cellIs" dxfId="1602" priority="1893" stopIfTrue="1" operator="equal">
      <formula>$A$32</formula>
    </cfRule>
  </conditionalFormatting>
  <conditionalFormatting sqref="DB17:DE17">
    <cfRule type="cellIs" dxfId="1601" priority="1889" stopIfTrue="1" operator="equal">
      <formula>$A$32</formula>
    </cfRule>
  </conditionalFormatting>
  <conditionalFormatting sqref="DB16">
    <cfRule type="cellIs" dxfId="1600" priority="1887" stopIfTrue="1" operator="equal">
      <formula>$A$32</formula>
    </cfRule>
  </conditionalFormatting>
  <conditionalFormatting sqref="DE18">
    <cfRule type="cellIs" dxfId="1599" priority="1886" stopIfTrue="1" operator="equal">
      <formula>$A$32</formula>
    </cfRule>
  </conditionalFormatting>
  <conditionalFormatting sqref="DB13">
    <cfRule type="cellIs" dxfId="1598" priority="1882" stopIfTrue="1" operator="equal">
      <formula>$A$33</formula>
    </cfRule>
  </conditionalFormatting>
  <conditionalFormatting sqref="DB13">
    <cfRule type="cellIs" dxfId="1597" priority="1881" stopIfTrue="1" operator="equal">
      <formula>$A$33</formula>
    </cfRule>
  </conditionalFormatting>
  <conditionalFormatting sqref="DB13">
    <cfRule type="cellIs" dxfId="1596" priority="1880" stopIfTrue="1" operator="equal">
      <formula>$A$33</formula>
    </cfRule>
  </conditionalFormatting>
  <conditionalFormatting sqref="DB13">
    <cfRule type="cellIs" dxfId="1595" priority="1879" stopIfTrue="1" operator="equal">
      <formula>$A$33</formula>
    </cfRule>
  </conditionalFormatting>
  <conditionalFormatting sqref="DB13">
    <cfRule type="cellIs" dxfId="1594" priority="1878" stopIfTrue="1" operator="equal">
      <formula>$A$33</formula>
    </cfRule>
  </conditionalFormatting>
  <conditionalFormatting sqref="DB13">
    <cfRule type="cellIs" dxfId="1593" priority="1877" stopIfTrue="1" operator="equal">
      <formula>$A$33</formula>
    </cfRule>
  </conditionalFormatting>
  <conditionalFormatting sqref="DF17">
    <cfRule type="cellIs" dxfId="1592" priority="1874" stopIfTrue="1" operator="equal">
      <formula>$A$32</formula>
    </cfRule>
  </conditionalFormatting>
  <conditionalFormatting sqref="DF17">
    <cfRule type="cellIs" dxfId="1591" priority="1871" stopIfTrue="1" operator="equal">
      <formula>$A$32</formula>
    </cfRule>
  </conditionalFormatting>
  <conditionalFormatting sqref="DF17">
    <cfRule type="cellIs" dxfId="1590" priority="1868" stopIfTrue="1" operator="equal">
      <formula>$A$32</formula>
    </cfRule>
  </conditionalFormatting>
  <conditionalFormatting sqref="DF18">
    <cfRule type="cellIs" dxfId="1589" priority="1867" stopIfTrue="1" operator="equal">
      <formula>$A$32</formula>
    </cfRule>
  </conditionalFormatting>
  <conditionalFormatting sqref="DF14:DF15">
    <cfRule type="cellIs" dxfId="1588" priority="1862" stopIfTrue="1" operator="equal">
      <formula>$A$33</formula>
    </cfRule>
  </conditionalFormatting>
  <conditionalFormatting sqref="DF17">
    <cfRule type="cellIs" dxfId="1587" priority="1861" stopIfTrue="1" operator="equal">
      <formula>$A$32</formula>
    </cfRule>
  </conditionalFormatting>
  <conditionalFormatting sqref="DF14:DF15">
    <cfRule type="cellIs" dxfId="1586" priority="1859" stopIfTrue="1" operator="equal">
      <formula>$A$33</formula>
    </cfRule>
  </conditionalFormatting>
  <conditionalFormatting sqref="DF17">
    <cfRule type="cellIs" dxfId="1585" priority="1858" stopIfTrue="1" operator="equal">
      <formula>$A$32</formula>
    </cfRule>
  </conditionalFormatting>
  <conditionalFormatting sqref="DF18">
    <cfRule type="cellIs" dxfId="1584" priority="1857" stopIfTrue="1" operator="equal">
      <formula>$A$32</formula>
    </cfRule>
  </conditionalFormatting>
  <conditionalFormatting sqref="DB17:DD17">
    <cfRule type="cellIs" dxfId="1583" priority="1850" stopIfTrue="1" operator="equal">
      <formula>$A$32</formula>
    </cfRule>
  </conditionalFormatting>
  <conditionalFormatting sqref="DB17:DD17">
    <cfRule type="cellIs" dxfId="1582" priority="1846" stopIfTrue="1" operator="equal">
      <formula>$A$32</formula>
    </cfRule>
  </conditionalFormatting>
  <conditionalFormatting sqref="DB16">
    <cfRule type="cellIs" dxfId="1581" priority="1844" stopIfTrue="1" operator="equal">
      <formula>$A$32</formula>
    </cfRule>
  </conditionalFormatting>
  <conditionalFormatting sqref="DB13">
    <cfRule type="cellIs" dxfId="1580" priority="1843" stopIfTrue="1" operator="equal">
      <formula>$A$33</formula>
    </cfRule>
  </conditionalFormatting>
  <conditionalFormatting sqref="DB13">
    <cfRule type="cellIs" dxfId="1579" priority="1842" stopIfTrue="1" operator="equal">
      <formula>$A$33</formula>
    </cfRule>
  </conditionalFormatting>
  <conditionalFormatting sqref="DB13">
    <cfRule type="cellIs" dxfId="1578" priority="1841" stopIfTrue="1" operator="equal">
      <formula>$A$33</formula>
    </cfRule>
  </conditionalFormatting>
  <conditionalFormatting sqref="DB13">
    <cfRule type="cellIs" dxfId="1577" priority="1840" stopIfTrue="1" operator="equal">
      <formula>$A$33</formula>
    </cfRule>
  </conditionalFormatting>
  <conditionalFormatting sqref="DB13">
    <cfRule type="cellIs" dxfId="1576" priority="1839" stopIfTrue="1" operator="equal">
      <formula>$A$33</formula>
    </cfRule>
  </conditionalFormatting>
  <conditionalFormatting sqref="DB13">
    <cfRule type="cellIs" dxfId="1575" priority="1838" stopIfTrue="1" operator="equal">
      <formula>$A$33</formula>
    </cfRule>
  </conditionalFormatting>
  <conditionalFormatting sqref="AS17">
    <cfRule type="cellIs" dxfId="1574" priority="1837" stopIfTrue="1" operator="equal">
      <formula>$A$32</formula>
    </cfRule>
  </conditionalFormatting>
  <conditionalFormatting sqref="AS17">
    <cfRule type="cellIs" dxfId="1573" priority="1834" stopIfTrue="1" operator="equal">
      <formula>$A$32</formula>
    </cfRule>
  </conditionalFormatting>
  <conditionalFormatting sqref="AS17">
    <cfRule type="cellIs" dxfId="1572" priority="1831" stopIfTrue="1" operator="equal">
      <formula>$A$32</formula>
    </cfRule>
  </conditionalFormatting>
  <conditionalFormatting sqref="AS16">
    <cfRule type="cellIs" dxfId="1571" priority="1830" stopIfTrue="1" operator="equal">
      <formula>$A$32</formula>
    </cfRule>
  </conditionalFormatting>
  <conditionalFormatting sqref="AS16:AS19">
    <cfRule type="cellIs" dxfId="1570" priority="1829" stopIfTrue="1" operator="equal">
      <formula>$A$33</formula>
    </cfRule>
  </conditionalFormatting>
  <conditionalFormatting sqref="AS14:AS15">
    <cfRule type="cellIs" dxfId="1569" priority="1828" stopIfTrue="1" operator="equal">
      <formula>$A$33</formula>
    </cfRule>
  </conditionalFormatting>
  <conditionalFormatting sqref="AS17">
    <cfRule type="cellIs" dxfId="1568" priority="1827" stopIfTrue="1" operator="equal">
      <formula>$A$32</formula>
    </cfRule>
  </conditionalFormatting>
  <conditionalFormatting sqref="AS16:AS19">
    <cfRule type="cellIs" dxfId="1567" priority="1826" stopIfTrue="1" operator="equal">
      <formula>$A$33</formula>
    </cfRule>
  </conditionalFormatting>
  <conditionalFormatting sqref="AS14:AS15">
    <cfRule type="cellIs" dxfId="1566" priority="1825" stopIfTrue="1" operator="equal">
      <formula>$A$33</formula>
    </cfRule>
  </conditionalFormatting>
  <conditionalFormatting sqref="AS17">
    <cfRule type="cellIs" dxfId="1565" priority="1824" stopIfTrue="1" operator="equal">
      <formula>$A$32</formula>
    </cfRule>
  </conditionalFormatting>
  <conditionalFormatting sqref="AS16">
    <cfRule type="cellIs" dxfId="1564" priority="1823" stopIfTrue="1" operator="equal">
      <formula>$A$32</formula>
    </cfRule>
  </conditionalFormatting>
  <conditionalFormatting sqref="AS13">
    <cfRule type="cellIs" dxfId="1563" priority="1822" stopIfTrue="1" operator="equal">
      <formula>$A$33</formula>
    </cfRule>
  </conditionalFormatting>
  <conditionalFormatting sqref="AS13">
    <cfRule type="cellIs" dxfId="1562" priority="1821" stopIfTrue="1" operator="equal">
      <formula>$A$33</formula>
    </cfRule>
  </conditionalFormatting>
  <conditionalFormatting sqref="AS13">
    <cfRule type="cellIs" dxfId="1561" priority="1820" stopIfTrue="1" operator="equal">
      <formula>$A$33</formula>
    </cfRule>
  </conditionalFormatting>
  <conditionalFormatting sqref="AS13">
    <cfRule type="cellIs" dxfId="1560" priority="1819" stopIfTrue="1" operator="equal">
      <formula>$A$33</formula>
    </cfRule>
  </conditionalFormatting>
  <conditionalFormatting sqref="AS13">
    <cfRule type="cellIs" dxfId="1559" priority="1818" stopIfTrue="1" operator="equal">
      <formula>$A$33</formula>
    </cfRule>
  </conditionalFormatting>
  <conditionalFormatting sqref="AS13">
    <cfRule type="cellIs" dxfId="1558" priority="1817" stopIfTrue="1" operator="equal">
      <formula>$A$33</formula>
    </cfRule>
  </conditionalFormatting>
  <conditionalFormatting sqref="AS17">
    <cfRule type="cellIs" dxfId="1557" priority="1814" stopIfTrue="1" operator="equal">
      <formula>$A$32</formula>
    </cfRule>
  </conditionalFormatting>
  <conditionalFormatting sqref="AS17">
    <cfRule type="cellIs" dxfId="1556" priority="1811" stopIfTrue="1" operator="equal">
      <formula>$A$32</formula>
    </cfRule>
  </conditionalFormatting>
  <conditionalFormatting sqref="AS16">
    <cfRule type="cellIs" dxfId="1555" priority="1810" stopIfTrue="1" operator="equal">
      <formula>$A$32</formula>
    </cfRule>
  </conditionalFormatting>
  <conditionalFormatting sqref="AS13">
    <cfRule type="cellIs" dxfId="1554" priority="1809" stopIfTrue="1" operator="equal">
      <formula>$A$33</formula>
    </cfRule>
  </conditionalFormatting>
  <conditionalFormatting sqref="AS13">
    <cfRule type="cellIs" dxfId="1553" priority="1808" stopIfTrue="1" operator="equal">
      <formula>$A$33</formula>
    </cfRule>
  </conditionalFormatting>
  <conditionalFormatting sqref="AS13">
    <cfRule type="cellIs" dxfId="1552" priority="1807" stopIfTrue="1" operator="equal">
      <formula>$A$33</formula>
    </cfRule>
  </conditionalFormatting>
  <conditionalFormatting sqref="AS13">
    <cfRule type="cellIs" dxfId="1551" priority="1806" stopIfTrue="1" operator="equal">
      <formula>$A$33</formula>
    </cfRule>
  </conditionalFormatting>
  <conditionalFormatting sqref="AS13">
    <cfRule type="cellIs" dxfId="1550" priority="1805" stopIfTrue="1" operator="equal">
      <formula>$A$33</formula>
    </cfRule>
  </conditionalFormatting>
  <conditionalFormatting sqref="AS13">
    <cfRule type="cellIs" dxfId="1549" priority="1804" stopIfTrue="1" operator="equal">
      <formula>$A$33</formula>
    </cfRule>
  </conditionalFormatting>
  <conditionalFormatting sqref="AS17">
    <cfRule type="cellIs" dxfId="1548" priority="1801" stopIfTrue="1" operator="equal">
      <formula>$A$32</formula>
    </cfRule>
  </conditionalFormatting>
  <conditionalFormatting sqref="AS17">
    <cfRule type="cellIs" dxfId="1547" priority="1798" stopIfTrue="1" operator="equal">
      <formula>$A$32</formula>
    </cfRule>
  </conditionalFormatting>
  <conditionalFormatting sqref="AS16">
    <cfRule type="cellIs" dxfId="1546" priority="1797" stopIfTrue="1" operator="equal">
      <formula>$A$32</formula>
    </cfRule>
  </conditionalFormatting>
  <conditionalFormatting sqref="AS13">
    <cfRule type="cellIs" dxfId="1545" priority="1796" stopIfTrue="1" operator="equal">
      <formula>$A$33</formula>
    </cfRule>
  </conditionalFormatting>
  <conditionalFormatting sqref="AS13">
    <cfRule type="cellIs" dxfId="1544" priority="1795" stopIfTrue="1" operator="equal">
      <formula>$A$33</formula>
    </cfRule>
  </conditionalFormatting>
  <conditionalFormatting sqref="AS13">
    <cfRule type="cellIs" dxfId="1543" priority="1794" stopIfTrue="1" operator="equal">
      <formula>$A$33</formula>
    </cfRule>
  </conditionalFormatting>
  <conditionalFormatting sqref="AS13">
    <cfRule type="cellIs" dxfId="1542" priority="1793" stopIfTrue="1" operator="equal">
      <formula>$A$33</formula>
    </cfRule>
  </conditionalFormatting>
  <conditionalFormatting sqref="AS13">
    <cfRule type="cellIs" dxfId="1541" priority="1792" stopIfTrue="1" operator="equal">
      <formula>$A$33</formula>
    </cfRule>
  </conditionalFormatting>
  <conditionalFormatting sqref="AS13">
    <cfRule type="cellIs" dxfId="1540" priority="1791" stopIfTrue="1" operator="equal">
      <formula>$A$33</formula>
    </cfRule>
  </conditionalFormatting>
  <conditionalFormatting sqref="AS17">
    <cfRule type="cellIs" dxfId="1539" priority="1788" stopIfTrue="1" operator="equal">
      <formula>$A$32</formula>
    </cfRule>
  </conditionalFormatting>
  <conditionalFormatting sqref="AS17">
    <cfRule type="cellIs" dxfId="1538" priority="1785" stopIfTrue="1" operator="equal">
      <formula>$A$32</formula>
    </cfRule>
  </conditionalFormatting>
  <conditionalFormatting sqref="AS16">
    <cfRule type="cellIs" dxfId="1537" priority="1784" stopIfTrue="1" operator="equal">
      <formula>$A$32</formula>
    </cfRule>
  </conditionalFormatting>
  <conditionalFormatting sqref="AS13">
    <cfRule type="cellIs" dxfId="1536" priority="1783" stopIfTrue="1" operator="equal">
      <formula>$A$33</formula>
    </cfRule>
  </conditionalFormatting>
  <conditionalFormatting sqref="AS13">
    <cfRule type="cellIs" dxfId="1535" priority="1782" stopIfTrue="1" operator="equal">
      <formula>$A$33</formula>
    </cfRule>
  </conditionalFormatting>
  <conditionalFormatting sqref="AS13">
    <cfRule type="cellIs" dxfId="1534" priority="1781" stopIfTrue="1" operator="equal">
      <formula>$A$33</formula>
    </cfRule>
  </conditionalFormatting>
  <conditionalFormatting sqref="AS13">
    <cfRule type="cellIs" dxfId="1533" priority="1780" stopIfTrue="1" operator="equal">
      <formula>$A$33</formula>
    </cfRule>
  </conditionalFormatting>
  <conditionalFormatting sqref="AS13">
    <cfRule type="cellIs" dxfId="1532" priority="1779" stopIfTrue="1" operator="equal">
      <formula>$A$33</formula>
    </cfRule>
  </conditionalFormatting>
  <conditionalFormatting sqref="AS13">
    <cfRule type="cellIs" dxfId="1531" priority="1778" stopIfTrue="1" operator="equal">
      <formula>$A$33</formula>
    </cfRule>
  </conditionalFormatting>
  <conditionalFormatting sqref="AS17">
    <cfRule type="cellIs" dxfId="1530" priority="1775" stopIfTrue="1" operator="equal">
      <formula>$A$32</formula>
    </cfRule>
  </conditionalFormatting>
  <conditionalFormatting sqref="AS17">
    <cfRule type="cellIs" dxfId="1529" priority="1772" stopIfTrue="1" operator="equal">
      <formula>$A$32</formula>
    </cfRule>
  </conditionalFormatting>
  <conditionalFormatting sqref="AS16">
    <cfRule type="cellIs" dxfId="1528" priority="1771" stopIfTrue="1" operator="equal">
      <formula>$A$32</formula>
    </cfRule>
  </conditionalFormatting>
  <conditionalFormatting sqref="AS13">
    <cfRule type="cellIs" dxfId="1527" priority="1770" stopIfTrue="1" operator="equal">
      <formula>$A$33</formula>
    </cfRule>
  </conditionalFormatting>
  <conditionalFormatting sqref="AS13">
    <cfRule type="cellIs" dxfId="1526" priority="1769" stopIfTrue="1" operator="equal">
      <formula>$A$33</formula>
    </cfRule>
  </conditionalFormatting>
  <conditionalFormatting sqref="AS13">
    <cfRule type="cellIs" dxfId="1525" priority="1768" stopIfTrue="1" operator="equal">
      <formula>$A$33</formula>
    </cfRule>
  </conditionalFormatting>
  <conditionalFormatting sqref="AS13">
    <cfRule type="cellIs" dxfId="1524" priority="1767" stopIfTrue="1" operator="equal">
      <formula>$A$33</formula>
    </cfRule>
  </conditionalFormatting>
  <conditionalFormatting sqref="AS13">
    <cfRule type="cellIs" dxfId="1523" priority="1766" stopIfTrue="1" operator="equal">
      <formula>$A$33</formula>
    </cfRule>
  </conditionalFormatting>
  <conditionalFormatting sqref="AS13">
    <cfRule type="cellIs" dxfId="1522" priority="1765" stopIfTrue="1" operator="equal">
      <formula>$A$33</formula>
    </cfRule>
  </conditionalFormatting>
  <conditionalFormatting sqref="AS17">
    <cfRule type="cellIs" dxfId="1521" priority="1762" stopIfTrue="1" operator="equal">
      <formula>$A$32</formula>
    </cfRule>
  </conditionalFormatting>
  <conditionalFormatting sqref="AS17">
    <cfRule type="cellIs" dxfId="1520" priority="1759" stopIfTrue="1" operator="equal">
      <formula>$A$32</formula>
    </cfRule>
  </conditionalFormatting>
  <conditionalFormatting sqref="AS16">
    <cfRule type="cellIs" dxfId="1519" priority="1758" stopIfTrue="1" operator="equal">
      <formula>$A$32</formula>
    </cfRule>
  </conditionalFormatting>
  <conditionalFormatting sqref="AS13">
    <cfRule type="cellIs" dxfId="1518" priority="1757" stopIfTrue="1" operator="equal">
      <formula>$A$33</formula>
    </cfRule>
  </conditionalFormatting>
  <conditionalFormatting sqref="AS13">
    <cfRule type="cellIs" dxfId="1517" priority="1756" stopIfTrue="1" operator="equal">
      <formula>$A$33</formula>
    </cfRule>
  </conditionalFormatting>
  <conditionalFormatting sqref="AS13">
    <cfRule type="cellIs" dxfId="1516" priority="1755" stopIfTrue="1" operator="equal">
      <formula>$A$33</formula>
    </cfRule>
  </conditionalFormatting>
  <conditionalFormatting sqref="AS13">
    <cfRule type="cellIs" dxfId="1515" priority="1754" stopIfTrue="1" operator="equal">
      <formula>$A$33</formula>
    </cfRule>
  </conditionalFormatting>
  <conditionalFormatting sqref="AS13">
    <cfRule type="cellIs" dxfId="1514" priority="1753" stopIfTrue="1" operator="equal">
      <formula>$A$33</formula>
    </cfRule>
  </conditionalFormatting>
  <conditionalFormatting sqref="AS13">
    <cfRule type="cellIs" dxfId="1513" priority="1752" stopIfTrue="1" operator="equal">
      <formula>$A$33</formula>
    </cfRule>
  </conditionalFormatting>
  <conditionalFormatting sqref="AU17">
    <cfRule type="cellIs" dxfId="1512" priority="1751" stopIfTrue="1" operator="equal">
      <formula>$A$32</formula>
    </cfRule>
  </conditionalFormatting>
  <conditionalFormatting sqref="AU17">
    <cfRule type="cellIs" dxfId="1511" priority="1748" stopIfTrue="1" operator="equal">
      <formula>$A$32</formula>
    </cfRule>
  </conditionalFormatting>
  <conditionalFormatting sqref="AU17">
    <cfRule type="cellIs" dxfId="1510" priority="1745" stopIfTrue="1" operator="equal">
      <formula>$A$32</formula>
    </cfRule>
  </conditionalFormatting>
  <conditionalFormatting sqref="AU16">
    <cfRule type="cellIs" dxfId="1509" priority="1744" stopIfTrue="1" operator="equal">
      <formula>$A$32</formula>
    </cfRule>
  </conditionalFormatting>
  <conditionalFormatting sqref="AU14:AU15">
    <cfRule type="cellIs" dxfId="1508" priority="1742" stopIfTrue="1" operator="equal">
      <formula>$A$33</formula>
    </cfRule>
  </conditionalFormatting>
  <conditionalFormatting sqref="AU17">
    <cfRule type="cellIs" dxfId="1507" priority="1741" stopIfTrue="1" operator="equal">
      <formula>$A$32</formula>
    </cfRule>
  </conditionalFormatting>
  <conditionalFormatting sqref="AU14:AU15">
    <cfRule type="cellIs" dxfId="1506" priority="1739" stopIfTrue="1" operator="equal">
      <formula>$A$33</formula>
    </cfRule>
  </conditionalFormatting>
  <conditionalFormatting sqref="AU17">
    <cfRule type="cellIs" dxfId="1505" priority="1738" stopIfTrue="1" operator="equal">
      <formula>$A$32</formula>
    </cfRule>
  </conditionalFormatting>
  <conditionalFormatting sqref="AU16">
    <cfRule type="cellIs" dxfId="1504" priority="1737" stopIfTrue="1" operator="equal">
      <formula>$A$32</formula>
    </cfRule>
  </conditionalFormatting>
  <conditionalFormatting sqref="AU13">
    <cfRule type="cellIs" dxfId="1503" priority="1736" stopIfTrue="1" operator="equal">
      <formula>$A$33</formula>
    </cfRule>
  </conditionalFormatting>
  <conditionalFormatting sqref="AU13">
    <cfRule type="cellIs" dxfId="1502" priority="1735" stopIfTrue="1" operator="equal">
      <formula>$A$33</formula>
    </cfRule>
  </conditionalFormatting>
  <conditionalFormatting sqref="AU13">
    <cfRule type="cellIs" dxfId="1501" priority="1734" stopIfTrue="1" operator="equal">
      <formula>$A$33</formula>
    </cfRule>
  </conditionalFormatting>
  <conditionalFormatting sqref="AU13">
    <cfRule type="cellIs" dxfId="1500" priority="1733" stopIfTrue="1" operator="equal">
      <formula>$A$33</formula>
    </cfRule>
  </conditionalFormatting>
  <conditionalFormatting sqref="AU13">
    <cfRule type="cellIs" dxfId="1499" priority="1732" stopIfTrue="1" operator="equal">
      <formula>$A$33</formula>
    </cfRule>
  </conditionalFormatting>
  <conditionalFormatting sqref="AU13">
    <cfRule type="cellIs" dxfId="1498" priority="1731" stopIfTrue="1" operator="equal">
      <formula>$A$33</formula>
    </cfRule>
  </conditionalFormatting>
  <conditionalFormatting sqref="AU17">
    <cfRule type="cellIs" dxfId="1497" priority="1728" stopIfTrue="1" operator="equal">
      <formula>$A$32</formula>
    </cfRule>
  </conditionalFormatting>
  <conditionalFormatting sqref="AU17">
    <cfRule type="cellIs" dxfId="1496" priority="1725" stopIfTrue="1" operator="equal">
      <formula>$A$32</formula>
    </cfRule>
  </conditionalFormatting>
  <conditionalFormatting sqref="AU16">
    <cfRule type="cellIs" dxfId="1495" priority="1724" stopIfTrue="1" operator="equal">
      <formula>$A$32</formula>
    </cfRule>
  </conditionalFormatting>
  <conditionalFormatting sqref="AU13">
    <cfRule type="cellIs" dxfId="1494" priority="1723" stopIfTrue="1" operator="equal">
      <formula>$A$33</formula>
    </cfRule>
  </conditionalFormatting>
  <conditionalFormatting sqref="AU13">
    <cfRule type="cellIs" dxfId="1493" priority="1722" stopIfTrue="1" operator="equal">
      <formula>$A$33</formula>
    </cfRule>
  </conditionalFormatting>
  <conditionalFormatting sqref="AU13">
    <cfRule type="cellIs" dxfId="1492" priority="1721" stopIfTrue="1" operator="equal">
      <formula>$A$33</formula>
    </cfRule>
  </conditionalFormatting>
  <conditionalFormatting sqref="AU13">
    <cfRule type="cellIs" dxfId="1491" priority="1720" stopIfTrue="1" operator="equal">
      <formula>$A$33</formula>
    </cfRule>
  </conditionalFormatting>
  <conditionalFormatting sqref="AU13">
    <cfRule type="cellIs" dxfId="1490" priority="1719" stopIfTrue="1" operator="equal">
      <formula>$A$33</formula>
    </cfRule>
  </conditionalFormatting>
  <conditionalFormatting sqref="AU13">
    <cfRule type="cellIs" dxfId="1489" priority="1718" stopIfTrue="1" operator="equal">
      <formula>$A$33</formula>
    </cfRule>
  </conditionalFormatting>
  <conditionalFormatting sqref="AU17">
    <cfRule type="cellIs" dxfId="1488" priority="1715" stopIfTrue="1" operator="equal">
      <formula>$A$32</formula>
    </cfRule>
  </conditionalFormatting>
  <conditionalFormatting sqref="AU17">
    <cfRule type="cellIs" dxfId="1487" priority="1712" stopIfTrue="1" operator="equal">
      <formula>$A$32</formula>
    </cfRule>
  </conditionalFormatting>
  <conditionalFormatting sqref="AU16">
    <cfRule type="cellIs" dxfId="1486" priority="1711" stopIfTrue="1" operator="equal">
      <formula>$A$32</formula>
    </cfRule>
  </conditionalFormatting>
  <conditionalFormatting sqref="AU13">
    <cfRule type="cellIs" dxfId="1485" priority="1710" stopIfTrue="1" operator="equal">
      <formula>$A$33</formula>
    </cfRule>
  </conditionalFormatting>
  <conditionalFormatting sqref="AU13">
    <cfRule type="cellIs" dxfId="1484" priority="1709" stopIfTrue="1" operator="equal">
      <formula>$A$33</formula>
    </cfRule>
  </conditionalFormatting>
  <conditionalFormatting sqref="AU13">
    <cfRule type="cellIs" dxfId="1483" priority="1708" stopIfTrue="1" operator="equal">
      <formula>$A$33</formula>
    </cfRule>
  </conditionalFormatting>
  <conditionalFormatting sqref="AU13">
    <cfRule type="cellIs" dxfId="1482" priority="1707" stopIfTrue="1" operator="equal">
      <formula>$A$33</formula>
    </cfRule>
  </conditionalFormatting>
  <conditionalFormatting sqref="AU13">
    <cfRule type="cellIs" dxfId="1481" priority="1706" stopIfTrue="1" operator="equal">
      <formula>$A$33</formula>
    </cfRule>
  </conditionalFormatting>
  <conditionalFormatting sqref="AU13">
    <cfRule type="cellIs" dxfId="1480" priority="1705" stopIfTrue="1" operator="equal">
      <formula>$A$33</formula>
    </cfRule>
  </conditionalFormatting>
  <conditionalFormatting sqref="AU17">
    <cfRule type="cellIs" dxfId="1479" priority="1702" stopIfTrue="1" operator="equal">
      <formula>$A$32</formula>
    </cfRule>
  </conditionalFormatting>
  <conditionalFormatting sqref="AU17">
    <cfRule type="cellIs" dxfId="1478" priority="1699" stopIfTrue="1" operator="equal">
      <formula>$A$32</formula>
    </cfRule>
  </conditionalFormatting>
  <conditionalFormatting sqref="AU16">
    <cfRule type="cellIs" dxfId="1477" priority="1698" stopIfTrue="1" operator="equal">
      <formula>$A$32</formula>
    </cfRule>
  </conditionalFormatting>
  <conditionalFormatting sqref="AU13">
    <cfRule type="cellIs" dxfId="1476" priority="1697" stopIfTrue="1" operator="equal">
      <formula>$A$33</formula>
    </cfRule>
  </conditionalFormatting>
  <conditionalFormatting sqref="AU13">
    <cfRule type="cellIs" dxfId="1475" priority="1696" stopIfTrue="1" operator="equal">
      <formula>$A$33</formula>
    </cfRule>
  </conditionalFormatting>
  <conditionalFormatting sqref="AU13">
    <cfRule type="cellIs" dxfId="1474" priority="1695" stopIfTrue="1" operator="equal">
      <formula>$A$33</formula>
    </cfRule>
  </conditionalFormatting>
  <conditionalFormatting sqref="AU13">
    <cfRule type="cellIs" dxfId="1473" priority="1694" stopIfTrue="1" operator="equal">
      <formula>$A$33</formula>
    </cfRule>
  </conditionalFormatting>
  <conditionalFormatting sqref="AU13">
    <cfRule type="cellIs" dxfId="1472" priority="1693" stopIfTrue="1" operator="equal">
      <formula>$A$33</formula>
    </cfRule>
  </conditionalFormatting>
  <conditionalFormatting sqref="AU13">
    <cfRule type="cellIs" dxfId="1471" priority="1692" stopIfTrue="1" operator="equal">
      <formula>$A$33</formula>
    </cfRule>
  </conditionalFormatting>
  <conditionalFormatting sqref="AU17">
    <cfRule type="cellIs" dxfId="1470" priority="1689" stopIfTrue="1" operator="equal">
      <formula>$A$32</formula>
    </cfRule>
  </conditionalFormatting>
  <conditionalFormatting sqref="AU17">
    <cfRule type="cellIs" dxfId="1469" priority="1686" stopIfTrue="1" operator="equal">
      <formula>$A$32</formula>
    </cfRule>
  </conditionalFormatting>
  <conditionalFormatting sqref="AU16">
    <cfRule type="cellIs" dxfId="1468" priority="1685" stopIfTrue="1" operator="equal">
      <formula>$A$32</formula>
    </cfRule>
  </conditionalFormatting>
  <conditionalFormatting sqref="AU13">
    <cfRule type="cellIs" dxfId="1467" priority="1684" stopIfTrue="1" operator="equal">
      <formula>$A$33</formula>
    </cfRule>
  </conditionalFormatting>
  <conditionalFormatting sqref="AU13">
    <cfRule type="cellIs" dxfId="1466" priority="1683" stopIfTrue="1" operator="equal">
      <formula>$A$33</formula>
    </cfRule>
  </conditionalFormatting>
  <conditionalFormatting sqref="AU13">
    <cfRule type="cellIs" dxfId="1465" priority="1682" stopIfTrue="1" operator="equal">
      <formula>$A$33</formula>
    </cfRule>
  </conditionalFormatting>
  <conditionalFormatting sqref="AU13">
    <cfRule type="cellIs" dxfId="1464" priority="1681" stopIfTrue="1" operator="equal">
      <formula>$A$33</formula>
    </cfRule>
  </conditionalFormatting>
  <conditionalFormatting sqref="AU13">
    <cfRule type="cellIs" dxfId="1463" priority="1680" stopIfTrue="1" operator="equal">
      <formula>$A$33</formula>
    </cfRule>
  </conditionalFormatting>
  <conditionalFormatting sqref="AU13">
    <cfRule type="cellIs" dxfId="1462" priority="1679" stopIfTrue="1" operator="equal">
      <formula>$A$33</formula>
    </cfRule>
  </conditionalFormatting>
  <conditionalFormatting sqref="AU17">
    <cfRule type="cellIs" dxfId="1461" priority="1676" stopIfTrue="1" operator="equal">
      <formula>$A$32</formula>
    </cfRule>
  </conditionalFormatting>
  <conditionalFormatting sqref="AU17">
    <cfRule type="cellIs" dxfId="1460" priority="1673" stopIfTrue="1" operator="equal">
      <formula>$A$32</formula>
    </cfRule>
  </conditionalFormatting>
  <conditionalFormatting sqref="AU16">
    <cfRule type="cellIs" dxfId="1459" priority="1672" stopIfTrue="1" operator="equal">
      <formula>$A$32</formula>
    </cfRule>
  </conditionalFormatting>
  <conditionalFormatting sqref="AU13">
    <cfRule type="cellIs" dxfId="1458" priority="1671" stopIfTrue="1" operator="equal">
      <formula>$A$33</formula>
    </cfRule>
  </conditionalFormatting>
  <conditionalFormatting sqref="AU13">
    <cfRule type="cellIs" dxfId="1457" priority="1670" stopIfTrue="1" operator="equal">
      <formula>$A$33</formula>
    </cfRule>
  </conditionalFormatting>
  <conditionalFormatting sqref="AU13">
    <cfRule type="cellIs" dxfId="1456" priority="1669" stopIfTrue="1" operator="equal">
      <formula>$A$33</formula>
    </cfRule>
  </conditionalFormatting>
  <conditionalFormatting sqref="AU13">
    <cfRule type="cellIs" dxfId="1455" priority="1668" stopIfTrue="1" operator="equal">
      <formula>$A$33</formula>
    </cfRule>
  </conditionalFormatting>
  <conditionalFormatting sqref="AU13">
    <cfRule type="cellIs" dxfId="1454" priority="1667" stopIfTrue="1" operator="equal">
      <formula>$A$33</formula>
    </cfRule>
  </conditionalFormatting>
  <conditionalFormatting sqref="AU13">
    <cfRule type="cellIs" dxfId="1453" priority="1666" stopIfTrue="1" operator="equal">
      <formula>$A$33</formula>
    </cfRule>
  </conditionalFormatting>
  <conditionalFormatting sqref="AW11">
    <cfRule type="cellIs" dxfId="1452" priority="1665" stopIfTrue="1" operator="equal">
      <formula>$A$32</formula>
    </cfRule>
  </conditionalFormatting>
  <conditionalFormatting sqref="AW11">
    <cfRule type="cellIs" dxfId="1451" priority="1663" stopIfTrue="1" operator="equal">
      <formula>$A$32</formula>
    </cfRule>
  </conditionalFormatting>
  <conditionalFormatting sqref="AW11">
    <cfRule type="cellIs" dxfId="1450" priority="1661" stopIfTrue="1" operator="equal">
      <formula>$A$32</formula>
    </cfRule>
  </conditionalFormatting>
  <conditionalFormatting sqref="AW11">
    <cfRule type="cellIs" dxfId="1449" priority="1659" stopIfTrue="1" operator="equal">
      <formula>$A$32</formula>
    </cfRule>
  </conditionalFormatting>
  <conditionalFormatting sqref="AW11">
    <cfRule type="cellIs" dxfId="1448" priority="1657" stopIfTrue="1" operator="equal">
      <formula>$A$32</formula>
    </cfRule>
  </conditionalFormatting>
  <conditionalFormatting sqref="AW11">
    <cfRule type="cellIs" dxfId="1447" priority="1655" stopIfTrue="1" operator="equal">
      <formula>$A$32</formula>
    </cfRule>
  </conditionalFormatting>
  <conditionalFormatting sqref="AW11">
    <cfRule type="cellIs" dxfId="1446" priority="1653" stopIfTrue="1" operator="equal">
      <formula>$A$32</formula>
    </cfRule>
  </conditionalFormatting>
  <conditionalFormatting sqref="AW11">
    <cfRule type="cellIs" dxfId="1445" priority="1651" stopIfTrue="1" operator="equal">
      <formula>$A$32</formula>
    </cfRule>
  </conditionalFormatting>
  <conditionalFormatting sqref="AW11">
    <cfRule type="cellIs" dxfId="1444" priority="1649" stopIfTrue="1" operator="equal">
      <formula>$A$32</formula>
    </cfRule>
  </conditionalFormatting>
  <conditionalFormatting sqref="AW11">
    <cfRule type="cellIs" dxfId="1443" priority="1647" stopIfTrue="1" operator="equal">
      <formula>$A$32</formula>
    </cfRule>
  </conditionalFormatting>
  <conditionalFormatting sqref="AW11">
    <cfRule type="cellIs" dxfId="1442" priority="1645" stopIfTrue="1" operator="equal">
      <formula>$A$32</formula>
    </cfRule>
  </conditionalFormatting>
  <conditionalFormatting sqref="AW11">
    <cfRule type="cellIs" dxfId="1441" priority="1643" stopIfTrue="1" operator="equal">
      <formula>$A$32</formula>
    </cfRule>
  </conditionalFormatting>
  <conditionalFormatting sqref="AW11">
    <cfRule type="cellIs" dxfId="1440" priority="1641" stopIfTrue="1" operator="equal">
      <formula>$A$32</formula>
    </cfRule>
  </conditionalFormatting>
  <conditionalFormatting sqref="AW11">
    <cfRule type="cellIs" dxfId="1439" priority="1639" stopIfTrue="1" operator="equal">
      <formula>$A$32</formula>
    </cfRule>
  </conditionalFormatting>
  <conditionalFormatting sqref="AW11">
    <cfRule type="cellIs" dxfId="1438" priority="1637" stopIfTrue="1" operator="equal">
      <formula>$A$32</formula>
    </cfRule>
  </conditionalFormatting>
  <conditionalFormatting sqref="AW13">
    <cfRule type="cellIs" dxfId="1437" priority="1636" stopIfTrue="1" operator="equal">
      <formula>$A$33</formula>
    </cfRule>
  </conditionalFormatting>
  <conditionalFormatting sqref="AW13">
    <cfRule type="cellIs" dxfId="1436" priority="1635" stopIfTrue="1" operator="equal">
      <formula>$A$33</formula>
    </cfRule>
  </conditionalFormatting>
  <conditionalFormatting sqref="AW13">
    <cfRule type="cellIs" dxfId="1435" priority="1634" stopIfTrue="1" operator="equal">
      <formula>$A$33</formula>
    </cfRule>
  </conditionalFormatting>
  <conditionalFormatting sqref="AW13">
    <cfRule type="cellIs" dxfId="1434" priority="1633" stopIfTrue="1" operator="equal">
      <formula>$A$33</formula>
    </cfRule>
  </conditionalFormatting>
  <conditionalFormatting sqref="AW13">
    <cfRule type="cellIs" dxfId="1433" priority="1632" stopIfTrue="1" operator="equal">
      <formula>$A$33</formula>
    </cfRule>
  </conditionalFormatting>
  <conditionalFormatting sqref="AW13">
    <cfRule type="cellIs" dxfId="1432" priority="1631" stopIfTrue="1" operator="equal">
      <formula>$A$33</formula>
    </cfRule>
  </conditionalFormatting>
  <conditionalFormatting sqref="AW13">
    <cfRule type="cellIs" dxfId="1431" priority="1630" stopIfTrue="1" operator="equal">
      <formula>$A$33</formula>
    </cfRule>
  </conditionalFormatting>
  <conditionalFormatting sqref="AW13">
    <cfRule type="cellIs" dxfId="1430" priority="1629" stopIfTrue="1" operator="equal">
      <formula>$A$33</formula>
    </cfRule>
  </conditionalFormatting>
  <conditionalFormatting sqref="AW13">
    <cfRule type="cellIs" dxfId="1429" priority="1628" stopIfTrue="1" operator="equal">
      <formula>$A$33</formula>
    </cfRule>
  </conditionalFormatting>
  <conditionalFormatting sqref="AW13">
    <cfRule type="cellIs" dxfId="1428" priority="1627" stopIfTrue="1" operator="equal">
      <formula>$A$33</formula>
    </cfRule>
  </conditionalFormatting>
  <conditionalFormatting sqref="AW13">
    <cfRule type="cellIs" dxfId="1427" priority="1626" stopIfTrue="1" operator="equal">
      <formula>$A$33</formula>
    </cfRule>
  </conditionalFormatting>
  <conditionalFormatting sqref="AW13">
    <cfRule type="cellIs" dxfId="1426" priority="1625" stopIfTrue="1" operator="equal">
      <formula>$A$33</formula>
    </cfRule>
  </conditionalFormatting>
  <conditionalFormatting sqref="AW13">
    <cfRule type="cellIs" dxfId="1425" priority="1624" stopIfTrue="1" operator="equal">
      <formula>$A$33</formula>
    </cfRule>
  </conditionalFormatting>
  <conditionalFormatting sqref="AW13">
    <cfRule type="cellIs" dxfId="1424" priority="1623" stopIfTrue="1" operator="equal">
      <formula>$A$33</formula>
    </cfRule>
  </conditionalFormatting>
  <conditionalFormatting sqref="AW13">
    <cfRule type="cellIs" dxfId="1423" priority="1622" stopIfTrue="1" operator="equal">
      <formula>$A$33</formula>
    </cfRule>
  </conditionalFormatting>
  <conditionalFormatting sqref="AW13">
    <cfRule type="cellIs" dxfId="1422" priority="1621" stopIfTrue="1" operator="equal">
      <formula>$A$33</formula>
    </cfRule>
  </conditionalFormatting>
  <conditionalFormatting sqref="AW13">
    <cfRule type="cellIs" dxfId="1421" priority="1620" stopIfTrue="1" operator="equal">
      <formula>$A$33</formula>
    </cfRule>
  </conditionalFormatting>
  <conditionalFormatting sqref="AW13">
    <cfRule type="cellIs" dxfId="1420" priority="1619" stopIfTrue="1" operator="equal">
      <formula>$A$33</formula>
    </cfRule>
  </conditionalFormatting>
  <conditionalFormatting sqref="AW13">
    <cfRule type="cellIs" dxfId="1419" priority="1618" stopIfTrue="1" operator="equal">
      <formula>$A$33</formula>
    </cfRule>
  </conditionalFormatting>
  <conditionalFormatting sqref="AW13">
    <cfRule type="cellIs" dxfId="1418" priority="1617" stopIfTrue="1" operator="equal">
      <formula>$A$33</formula>
    </cfRule>
  </conditionalFormatting>
  <conditionalFormatting sqref="AW13">
    <cfRule type="cellIs" dxfId="1417" priority="1616" stopIfTrue="1" operator="equal">
      <formula>$A$33</formula>
    </cfRule>
  </conditionalFormatting>
  <conditionalFormatting sqref="AW13">
    <cfRule type="cellIs" dxfId="1416" priority="1615" stopIfTrue="1" operator="equal">
      <formula>$A$33</formula>
    </cfRule>
  </conditionalFormatting>
  <conditionalFormatting sqref="AW13">
    <cfRule type="cellIs" dxfId="1415" priority="1614" stopIfTrue="1" operator="equal">
      <formula>$A$33</formula>
    </cfRule>
  </conditionalFormatting>
  <conditionalFormatting sqref="AW13">
    <cfRule type="cellIs" dxfId="1414" priority="1613" stopIfTrue="1" operator="equal">
      <formula>$A$33</formula>
    </cfRule>
  </conditionalFormatting>
  <conditionalFormatting sqref="AW13">
    <cfRule type="cellIs" dxfId="1413" priority="1612" stopIfTrue="1" operator="equal">
      <formula>$A$33</formula>
    </cfRule>
  </conditionalFormatting>
  <conditionalFormatting sqref="AW13">
    <cfRule type="cellIs" dxfId="1412" priority="1611" stopIfTrue="1" operator="equal">
      <formula>$A$33</formula>
    </cfRule>
  </conditionalFormatting>
  <conditionalFormatting sqref="AW13">
    <cfRule type="cellIs" dxfId="1411" priority="1610" stopIfTrue="1" operator="equal">
      <formula>$A$33</formula>
    </cfRule>
  </conditionalFormatting>
  <conditionalFormatting sqref="AW13">
    <cfRule type="cellIs" dxfId="1410" priority="1609" stopIfTrue="1" operator="equal">
      <formula>$A$33</formula>
    </cfRule>
  </conditionalFormatting>
  <conditionalFormatting sqref="AW13">
    <cfRule type="cellIs" dxfId="1409" priority="1608" stopIfTrue="1" operator="equal">
      <formula>$A$33</formula>
    </cfRule>
  </conditionalFormatting>
  <conditionalFormatting sqref="AW13">
    <cfRule type="cellIs" dxfId="1408" priority="1607" stopIfTrue="1" operator="equal">
      <formula>$A$33</formula>
    </cfRule>
  </conditionalFormatting>
  <conditionalFormatting sqref="AW13">
    <cfRule type="cellIs" dxfId="1407" priority="1606" stopIfTrue="1" operator="equal">
      <formula>$A$33</formula>
    </cfRule>
  </conditionalFormatting>
  <conditionalFormatting sqref="AW13">
    <cfRule type="cellIs" dxfId="1406" priority="1605" stopIfTrue="1" operator="equal">
      <formula>$A$33</formula>
    </cfRule>
  </conditionalFormatting>
  <conditionalFormatting sqref="AW13">
    <cfRule type="cellIs" dxfId="1405" priority="1604" stopIfTrue="1" operator="equal">
      <formula>$A$33</formula>
    </cfRule>
  </conditionalFormatting>
  <conditionalFormatting sqref="AW13">
    <cfRule type="cellIs" dxfId="1404" priority="1603" stopIfTrue="1" operator="equal">
      <formula>$A$33</formula>
    </cfRule>
  </conditionalFormatting>
  <conditionalFormatting sqref="AW13">
    <cfRule type="cellIs" dxfId="1403" priority="1602" stopIfTrue="1" operator="equal">
      <formula>$A$33</formula>
    </cfRule>
  </conditionalFormatting>
  <conditionalFormatting sqref="AW13">
    <cfRule type="cellIs" dxfId="1402" priority="1601" stopIfTrue="1" operator="equal">
      <formula>$A$33</formula>
    </cfRule>
  </conditionalFormatting>
  <conditionalFormatting sqref="AW13">
    <cfRule type="cellIs" dxfId="1401" priority="1600" stopIfTrue="1" operator="equal">
      <formula>$A$33</formula>
    </cfRule>
  </conditionalFormatting>
  <conditionalFormatting sqref="AW13">
    <cfRule type="cellIs" dxfId="1400" priority="1599" stopIfTrue="1" operator="equal">
      <formula>$A$33</formula>
    </cfRule>
  </conditionalFormatting>
  <conditionalFormatting sqref="AW13">
    <cfRule type="cellIs" dxfId="1399" priority="1598" stopIfTrue="1" operator="equal">
      <formula>$A$33</formula>
    </cfRule>
  </conditionalFormatting>
  <conditionalFormatting sqref="AW13">
    <cfRule type="cellIs" dxfId="1398" priority="1597" stopIfTrue="1" operator="equal">
      <formula>$A$33</formula>
    </cfRule>
  </conditionalFormatting>
  <conditionalFormatting sqref="AW13">
    <cfRule type="cellIs" dxfId="1397" priority="1596" stopIfTrue="1" operator="equal">
      <formula>$A$33</formula>
    </cfRule>
  </conditionalFormatting>
  <conditionalFormatting sqref="AW13">
    <cfRule type="cellIs" dxfId="1396" priority="1595" stopIfTrue="1" operator="equal">
      <formula>$A$33</formula>
    </cfRule>
  </conditionalFormatting>
  <conditionalFormatting sqref="AW13">
    <cfRule type="cellIs" dxfId="1395" priority="1594" stopIfTrue="1" operator="equal">
      <formula>$A$33</formula>
    </cfRule>
  </conditionalFormatting>
  <conditionalFormatting sqref="AW13">
    <cfRule type="cellIs" dxfId="1394" priority="1593" stopIfTrue="1" operator="equal">
      <formula>$A$33</formula>
    </cfRule>
  </conditionalFormatting>
  <conditionalFormatting sqref="AW13">
    <cfRule type="cellIs" dxfId="1393" priority="1592" stopIfTrue="1" operator="equal">
      <formula>$A$33</formula>
    </cfRule>
  </conditionalFormatting>
  <conditionalFormatting sqref="AW13">
    <cfRule type="cellIs" dxfId="1392" priority="1591" stopIfTrue="1" operator="equal">
      <formula>$A$33</formula>
    </cfRule>
  </conditionalFormatting>
  <conditionalFormatting sqref="AW13">
    <cfRule type="cellIs" dxfId="1391" priority="1590" stopIfTrue="1" operator="equal">
      <formula>$A$33</formula>
    </cfRule>
  </conditionalFormatting>
  <conditionalFormatting sqref="AW13">
    <cfRule type="cellIs" dxfId="1390" priority="1589" stopIfTrue="1" operator="equal">
      <formula>$A$33</formula>
    </cfRule>
  </conditionalFormatting>
  <conditionalFormatting sqref="AW13">
    <cfRule type="cellIs" dxfId="1389" priority="1588" stopIfTrue="1" operator="equal">
      <formula>$A$33</formula>
    </cfRule>
  </conditionalFormatting>
  <conditionalFormatting sqref="AW13">
    <cfRule type="cellIs" dxfId="1388" priority="1587" stopIfTrue="1" operator="equal">
      <formula>$A$33</formula>
    </cfRule>
  </conditionalFormatting>
  <conditionalFormatting sqref="AU16">
    <cfRule type="cellIs" dxfId="1387" priority="1530" stopIfTrue="1" operator="equal">
      <formula>$A$33</formula>
    </cfRule>
  </conditionalFormatting>
  <conditionalFormatting sqref="AU16">
    <cfRule type="cellIs" dxfId="1386" priority="1529" stopIfTrue="1" operator="equal">
      <formula>$A$33</formula>
    </cfRule>
  </conditionalFormatting>
  <conditionalFormatting sqref="AU16">
    <cfRule type="cellIs" dxfId="1385" priority="1528" stopIfTrue="1" operator="equal">
      <formula>$A$32</formula>
    </cfRule>
  </conditionalFormatting>
  <conditionalFormatting sqref="AU16">
    <cfRule type="cellIs" dxfId="1384" priority="1527" stopIfTrue="1" operator="equal">
      <formula>$A$33</formula>
    </cfRule>
  </conditionalFormatting>
  <conditionalFormatting sqref="AU16">
    <cfRule type="cellIs" dxfId="1383" priority="1526" stopIfTrue="1" operator="equal">
      <formula>$A$33</formula>
    </cfRule>
  </conditionalFormatting>
  <conditionalFormatting sqref="AU16">
    <cfRule type="cellIs" dxfId="1382" priority="1525" stopIfTrue="1" operator="equal">
      <formula>$A$32</formula>
    </cfRule>
  </conditionalFormatting>
  <conditionalFormatting sqref="AU16">
    <cfRule type="cellIs" dxfId="1381" priority="1524" stopIfTrue="1" operator="equal">
      <formula>$A$33</formula>
    </cfRule>
  </conditionalFormatting>
  <conditionalFormatting sqref="AU16">
    <cfRule type="cellIs" dxfId="1380" priority="1523" stopIfTrue="1" operator="equal">
      <formula>$A$33</formula>
    </cfRule>
  </conditionalFormatting>
  <conditionalFormatting sqref="AU16">
    <cfRule type="cellIs" dxfId="1379" priority="1522" stopIfTrue="1" operator="equal">
      <formula>$A$32</formula>
    </cfRule>
  </conditionalFormatting>
  <conditionalFormatting sqref="AU16">
    <cfRule type="cellIs" dxfId="1378" priority="1521" stopIfTrue="1" operator="equal">
      <formula>$A$33</formula>
    </cfRule>
  </conditionalFormatting>
  <conditionalFormatting sqref="AU16">
    <cfRule type="cellIs" dxfId="1377" priority="1520" stopIfTrue="1" operator="equal">
      <formula>$A$33</formula>
    </cfRule>
  </conditionalFormatting>
  <conditionalFormatting sqref="AU16">
    <cfRule type="cellIs" dxfId="1376" priority="1519" stopIfTrue="1" operator="equal">
      <formula>$A$32</formula>
    </cfRule>
  </conditionalFormatting>
  <conditionalFormatting sqref="AU16">
    <cfRule type="cellIs" dxfId="1375" priority="1518" stopIfTrue="1" operator="equal">
      <formula>$A$33</formula>
    </cfRule>
  </conditionalFormatting>
  <conditionalFormatting sqref="AU16">
    <cfRule type="cellIs" dxfId="1374" priority="1517" stopIfTrue="1" operator="equal">
      <formula>$A$33</formula>
    </cfRule>
  </conditionalFormatting>
  <conditionalFormatting sqref="AU16">
    <cfRule type="cellIs" dxfId="1373" priority="1516" stopIfTrue="1" operator="equal">
      <formula>$A$32</formula>
    </cfRule>
  </conditionalFormatting>
  <conditionalFormatting sqref="AU16">
    <cfRule type="cellIs" dxfId="1372" priority="1515" stopIfTrue="1" operator="equal">
      <formula>$A$33</formula>
    </cfRule>
  </conditionalFormatting>
  <conditionalFormatting sqref="AU16">
    <cfRule type="cellIs" dxfId="1371" priority="1514" stopIfTrue="1" operator="equal">
      <formula>$A$33</formula>
    </cfRule>
  </conditionalFormatting>
  <conditionalFormatting sqref="AU16">
    <cfRule type="cellIs" dxfId="1370" priority="1513" stopIfTrue="1" operator="equal">
      <formula>$A$32</formula>
    </cfRule>
  </conditionalFormatting>
  <conditionalFormatting sqref="AU16">
    <cfRule type="cellIs" dxfId="1369" priority="1512" stopIfTrue="1" operator="equal">
      <formula>$A$33</formula>
    </cfRule>
  </conditionalFormatting>
  <conditionalFormatting sqref="AU16">
    <cfRule type="cellIs" dxfId="1368" priority="1511" stopIfTrue="1" operator="equal">
      <formula>$A$33</formula>
    </cfRule>
  </conditionalFormatting>
  <conditionalFormatting sqref="AU16">
    <cfRule type="cellIs" dxfId="1367" priority="1510" stopIfTrue="1" operator="equal">
      <formula>$A$32</formula>
    </cfRule>
  </conditionalFormatting>
  <conditionalFormatting sqref="AW16">
    <cfRule type="cellIs" dxfId="1366" priority="1509" stopIfTrue="1" operator="equal">
      <formula>$A$33</formula>
    </cfRule>
  </conditionalFormatting>
  <conditionalFormatting sqref="AW16">
    <cfRule type="cellIs" dxfId="1365" priority="1508" stopIfTrue="1" operator="equal">
      <formula>$A$33</formula>
    </cfRule>
  </conditionalFormatting>
  <conditionalFormatting sqref="AW16">
    <cfRule type="cellIs" dxfId="1364" priority="1507" stopIfTrue="1" operator="equal">
      <formula>$A$32</formula>
    </cfRule>
  </conditionalFormatting>
  <conditionalFormatting sqref="AW16">
    <cfRule type="cellIs" dxfId="1363" priority="1506" stopIfTrue="1" operator="equal">
      <formula>$A$33</formula>
    </cfRule>
  </conditionalFormatting>
  <conditionalFormatting sqref="AW16">
    <cfRule type="cellIs" dxfId="1362" priority="1505" stopIfTrue="1" operator="equal">
      <formula>$A$33</formula>
    </cfRule>
  </conditionalFormatting>
  <conditionalFormatting sqref="AW16">
    <cfRule type="cellIs" dxfId="1361" priority="1504" stopIfTrue="1" operator="equal">
      <formula>$A$32</formula>
    </cfRule>
  </conditionalFormatting>
  <conditionalFormatting sqref="AW16">
    <cfRule type="cellIs" dxfId="1360" priority="1503" stopIfTrue="1" operator="equal">
      <formula>$A$33</formula>
    </cfRule>
  </conditionalFormatting>
  <conditionalFormatting sqref="AW16">
    <cfRule type="cellIs" dxfId="1359" priority="1502" stopIfTrue="1" operator="equal">
      <formula>$A$33</formula>
    </cfRule>
  </conditionalFormatting>
  <conditionalFormatting sqref="AW16">
    <cfRule type="cellIs" dxfId="1358" priority="1501" stopIfTrue="1" operator="equal">
      <formula>$A$32</formula>
    </cfRule>
  </conditionalFormatting>
  <conditionalFormatting sqref="AW16">
    <cfRule type="cellIs" dxfId="1357" priority="1500" stopIfTrue="1" operator="equal">
      <formula>$A$33</formula>
    </cfRule>
  </conditionalFormatting>
  <conditionalFormatting sqref="AW16">
    <cfRule type="cellIs" dxfId="1356" priority="1499" stopIfTrue="1" operator="equal">
      <formula>$A$33</formula>
    </cfRule>
  </conditionalFormatting>
  <conditionalFormatting sqref="AW16">
    <cfRule type="cellIs" dxfId="1355" priority="1498" stopIfTrue="1" operator="equal">
      <formula>$A$32</formula>
    </cfRule>
  </conditionalFormatting>
  <conditionalFormatting sqref="AW16">
    <cfRule type="cellIs" dxfId="1354" priority="1497" stopIfTrue="1" operator="equal">
      <formula>$A$33</formula>
    </cfRule>
  </conditionalFormatting>
  <conditionalFormatting sqref="AW16">
    <cfRule type="cellIs" dxfId="1353" priority="1496" stopIfTrue="1" operator="equal">
      <formula>$A$33</formula>
    </cfRule>
  </conditionalFormatting>
  <conditionalFormatting sqref="AW16">
    <cfRule type="cellIs" dxfId="1352" priority="1495" stopIfTrue="1" operator="equal">
      <formula>$A$32</formula>
    </cfRule>
  </conditionalFormatting>
  <conditionalFormatting sqref="AW16">
    <cfRule type="cellIs" dxfId="1351" priority="1494" stopIfTrue="1" operator="equal">
      <formula>$A$33</formula>
    </cfRule>
  </conditionalFormatting>
  <conditionalFormatting sqref="AW16">
    <cfRule type="cellIs" dxfId="1350" priority="1493" stopIfTrue="1" operator="equal">
      <formula>$A$33</formula>
    </cfRule>
  </conditionalFormatting>
  <conditionalFormatting sqref="AW16">
    <cfRule type="cellIs" dxfId="1349" priority="1492" stopIfTrue="1" operator="equal">
      <formula>$A$32</formula>
    </cfRule>
  </conditionalFormatting>
  <conditionalFormatting sqref="AW16">
    <cfRule type="cellIs" dxfId="1348" priority="1491" stopIfTrue="1" operator="equal">
      <formula>$A$33</formula>
    </cfRule>
  </conditionalFormatting>
  <conditionalFormatting sqref="AW16">
    <cfRule type="cellIs" dxfId="1347" priority="1490" stopIfTrue="1" operator="equal">
      <formula>$A$33</formula>
    </cfRule>
  </conditionalFormatting>
  <conditionalFormatting sqref="AW16">
    <cfRule type="cellIs" dxfId="1346" priority="1489" stopIfTrue="1" operator="equal">
      <formula>$A$32</formula>
    </cfRule>
  </conditionalFormatting>
  <conditionalFormatting sqref="AU17">
    <cfRule type="cellIs" dxfId="1345" priority="1488" stopIfTrue="1" operator="equal">
      <formula>$A$32</formula>
    </cfRule>
  </conditionalFormatting>
  <conditionalFormatting sqref="AU17">
    <cfRule type="cellIs" dxfId="1344" priority="1487" stopIfTrue="1" operator="equal">
      <formula>$A$32</formula>
    </cfRule>
  </conditionalFormatting>
  <conditionalFormatting sqref="AU17">
    <cfRule type="cellIs" dxfId="1343" priority="1486" stopIfTrue="1" operator="equal">
      <formula>$A$32</formula>
    </cfRule>
  </conditionalFormatting>
  <conditionalFormatting sqref="AU17">
    <cfRule type="cellIs" dxfId="1342" priority="1485" stopIfTrue="1" operator="equal">
      <formula>$A$32</formula>
    </cfRule>
  </conditionalFormatting>
  <conditionalFormatting sqref="AU17">
    <cfRule type="cellIs" dxfId="1341" priority="1484" stopIfTrue="1" operator="equal">
      <formula>$A$32</formula>
    </cfRule>
  </conditionalFormatting>
  <conditionalFormatting sqref="AU17">
    <cfRule type="cellIs" dxfId="1340" priority="1483" stopIfTrue="1" operator="equal">
      <formula>$A$32</formula>
    </cfRule>
  </conditionalFormatting>
  <conditionalFormatting sqref="AU17">
    <cfRule type="cellIs" dxfId="1339" priority="1482" stopIfTrue="1" operator="equal">
      <formula>$A$32</formula>
    </cfRule>
  </conditionalFormatting>
  <conditionalFormatting sqref="AU17">
    <cfRule type="cellIs" dxfId="1338" priority="1481" stopIfTrue="1" operator="equal">
      <formula>$A$33</formula>
    </cfRule>
  </conditionalFormatting>
  <conditionalFormatting sqref="AU17">
    <cfRule type="cellIs" dxfId="1337" priority="1480" stopIfTrue="1" operator="equal">
      <formula>$A$33</formula>
    </cfRule>
  </conditionalFormatting>
  <conditionalFormatting sqref="AU17">
    <cfRule type="cellIs" dxfId="1336" priority="1479" stopIfTrue="1" operator="equal">
      <formula>$A$32</formula>
    </cfRule>
  </conditionalFormatting>
  <conditionalFormatting sqref="AU17">
    <cfRule type="cellIs" dxfId="1335" priority="1478" stopIfTrue="1" operator="equal">
      <formula>$A$33</formula>
    </cfRule>
  </conditionalFormatting>
  <conditionalFormatting sqref="AU17">
    <cfRule type="cellIs" dxfId="1334" priority="1477" stopIfTrue="1" operator="equal">
      <formula>$A$33</formula>
    </cfRule>
  </conditionalFormatting>
  <conditionalFormatting sqref="AU17">
    <cfRule type="cellIs" dxfId="1333" priority="1476" stopIfTrue="1" operator="equal">
      <formula>$A$32</formula>
    </cfRule>
  </conditionalFormatting>
  <conditionalFormatting sqref="AU17">
    <cfRule type="cellIs" dxfId="1332" priority="1475" stopIfTrue="1" operator="equal">
      <formula>$A$33</formula>
    </cfRule>
  </conditionalFormatting>
  <conditionalFormatting sqref="AU17">
    <cfRule type="cellIs" dxfId="1331" priority="1474" stopIfTrue="1" operator="equal">
      <formula>$A$33</formula>
    </cfRule>
  </conditionalFormatting>
  <conditionalFormatting sqref="AU17">
    <cfRule type="cellIs" dxfId="1330" priority="1473" stopIfTrue="1" operator="equal">
      <formula>$A$32</formula>
    </cfRule>
  </conditionalFormatting>
  <conditionalFormatting sqref="AU17">
    <cfRule type="cellIs" dxfId="1329" priority="1472" stopIfTrue="1" operator="equal">
      <formula>$A$33</formula>
    </cfRule>
  </conditionalFormatting>
  <conditionalFormatting sqref="AU17">
    <cfRule type="cellIs" dxfId="1328" priority="1471" stopIfTrue="1" operator="equal">
      <formula>$A$33</formula>
    </cfRule>
  </conditionalFormatting>
  <conditionalFormatting sqref="AU17">
    <cfRule type="cellIs" dxfId="1327" priority="1470" stopIfTrue="1" operator="equal">
      <formula>$A$32</formula>
    </cfRule>
  </conditionalFormatting>
  <conditionalFormatting sqref="AU17">
    <cfRule type="cellIs" dxfId="1326" priority="1469" stopIfTrue="1" operator="equal">
      <formula>$A$33</formula>
    </cfRule>
  </conditionalFormatting>
  <conditionalFormatting sqref="AU17">
    <cfRule type="cellIs" dxfId="1325" priority="1468" stopIfTrue="1" operator="equal">
      <formula>$A$33</formula>
    </cfRule>
  </conditionalFormatting>
  <conditionalFormatting sqref="AU17">
    <cfRule type="cellIs" dxfId="1324" priority="1467" stopIfTrue="1" operator="equal">
      <formula>$A$32</formula>
    </cfRule>
  </conditionalFormatting>
  <conditionalFormatting sqref="AU17">
    <cfRule type="cellIs" dxfId="1323" priority="1466" stopIfTrue="1" operator="equal">
      <formula>$A$33</formula>
    </cfRule>
  </conditionalFormatting>
  <conditionalFormatting sqref="AU17">
    <cfRule type="cellIs" dxfId="1322" priority="1465" stopIfTrue="1" operator="equal">
      <formula>$A$33</formula>
    </cfRule>
  </conditionalFormatting>
  <conditionalFormatting sqref="AU17">
    <cfRule type="cellIs" dxfId="1321" priority="1464" stopIfTrue="1" operator="equal">
      <formula>$A$32</formula>
    </cfRule>
  </conditionalFormatting>
  <conditionalFormatting sqref="AU17">
    <cfRule type="cellIs" dxfId="1320" priority="1463" stopIfTrue="1" operator="equal">
      <formula>$A$33</formula>
    </cfRule>
  </conditionalFormatting>
  <conditionalFormatting sqref="AU17">
    <cfRule type="cellIs" dxfId="1319" priority="1462" stopIfTrue="1" operator="equal">
      <formula>$A$33</formula>
    </cfRule>
  </conditionalFormatting>
  <conditionalFormatting sqref="AU17">
    <cfRule type="cellIs" dxfId="1318" priority="1461" stopIfTrue="1" operator="equal">
      <formula>$A$32</formula>
    </cfRule>
  </conditionalFormatting>
  <conditionalFormatting sqref="AW17">
    <cfRule type="cellIs" dxfId="1317" priority="1460" stopIfTrue="1" operator="equal">
      <formula>$A$33</formula>
    </cfRule>
  </conditionalFormatting>
  <conditionalFormatting sqref="AW17">
    <cfRule type="cellIs" dxfId="1316" priority="1459" stopIfTrue="1" operator="equal">
      <formula>$A$33</formula>
    </cfRule>
  </conditionalFormatting>
  <conditionalFormatting sqref="AW17">
    <cfRule type="cellIs" dxfId="1315" priority="1458" stopIfTrue="1" operator="equal">
      <formula>$A$32</formula>
    </cfRule>
  </conditionalFormatting>
  <conditionalFormatting sqref="AW17">
    <cfRule type="cellIs" dxfId="1314" priority="1457" stopIfTrue="1" operator="equal">
      <formula>$A$33</formula>
    </cfRule>
  </conditionalFormatting>
  <conditionalFormatting sqref="AW17">
    <cfRule type="cellIs" dxfId="1313" priority="1456" stopIfTrue="1" operator="equal">
      <formula>$A$33</formula>
    </cfRule>
  </conditionalFormatting>
  <conditionalFormatting sqref="AW17">
    <cfRule type="cellIs" dxfId="1312" priority="1455" stopIfTrue="1" operator="equal">
      <formula>$A$32</formula>
    </cfRule>
  </conditionalFormatting>
  <conditionalFormatting sqref="AW17">
    <cfRule type="cellIs" dxfId="1311" priority="1454" stopIfTrue="1" operator="equal">
      <formula>$A$33</formula>
    </cfRule>
  </conditionalFormatting>
  <conditionalFormatting sqref="AW17">
    <cfRule type="cellIs" dxfId="1310" priority="1453" stopIfTrue="1" operator="equal">
      <formula>$A$33</formula>
    </cfRule>
  </conditionalFormatting>
  <conditionalFormatting sqref="AW17">
    <cfRule type="cellIs" dxfId="1309" priority="1452" stopIfTrue="1" operator="equal">
      <formula>$A$32</formula>
    </cfRule>
  </conditionalFormatting>
  <conditionalFormatting sqref="AW17">
    <cfRule type="cellIs" dxfId="1308" priority="1451" stopIfTrue="1" operator="equal">
      <formula>$A$33</formula>
    </cfRule>
  </conditionalFormatting>
  <conditionalFormatting sqref="AW17">
    <cfRule type="cellIs" dxfId="1307" priority="1450" stopIfTrue="1" operator="equal">
      <formula>$A$33</formula>
    </cfRule>
  </conditionalFormatting>
  <conditionalFormatting sqref="AW17">
    <cfRule type="cellIs" dxfId="1306" priority="1449" stopIfTrue="1" operator="equal">
      <formula>$A$32</formula>
    </cfRule>
  </conditionalFormatting>
  <conditionalFormatting sqref="AW17">
    <cfRule type="cellIs" dxfId="1305" priority="1448" stopIfTrue="1" operator="equal">
      <formula>$A$33</formula>
    </cfRule>
  </conditionalFormatting>
  <conditionalFormatting sqref="AW17">
    <cfRule type="cellIs" dxfId="1304" priority="1447" stopIfTrue="1" operator="equal">
      <formula>$A$33</formula>
    </cfRule>
  </conditionalFormatting>
  <conditionalFormatting sqref="AW17">
    <cfRule type="cellIs" dxfId="1303" priority="1446" stopIfTrue="1" operator="equal">
      <formula>$A$32</formula>
    </cfRule>
  </conditionalFormatting>
  <conditionalFormatting sqref="AW17">
    <cfRule type="cellIs" dxfId="1302" priority="1445" stopIfTrue="1" operator="equal">
      <formula>$A$33</formula>
    </cfRule>
  </conditionalFormatting>
  <conditionalFormatting sqref="AW17">
    <cfRule type="cellIs" dxfId="1301" priority="1444" stopIfTrue="1" operator="equal">
      <formula>$A$33</formula>
    </cfRule>
  </conditionalFormatting>
  <conditionalFormatting sqref="AW17">
    <cfRule type="cellIs" dxfId="1300" priority="1443" stopIfTrue="1" operator="equal">
      <formula>$A$32</formula>
    </cfRule>
  </conditionalFormatting>
  <conditionalFormatting sqref="AW17">
    <cfRule type="cellIs" dxfId="1299" priority="1442" stopIfTrue="1" operator="equal">
      <formula>$A$33</formula>
    </cfRule>
  </conditionalFormatting>
  <conditionalFormatting sqref="AW17">
    <cfRule type="cellIs" dxfId="1298" priority="1441" stopIfTrue="1" operator="equal">
      <formula>$A$33</formula>
    </cfRule>
  </conditionalFormatting>
  <conditionalFormatting sqref="AW17">
    <cfRule type="cellIs" dxfId="1297" priority="1440" stopIfTrue="1" operator="equal">
      <formula>$A$32</formula>
    </cfRule>
  </conditionalFormatting>
  <conditionalFormatting sqref="AU18">
    <cfRule type="cellIs" dxfId="1296" priority="1439" stopIfTrue="1" operator="equal">
      <formula>$A$33</formula>
    </cfRule>
  </conditionalFormatting>
  <conditionalFormatting sqref="AU18">
    <cfRule type="cellIs" dxfId="1295" priority="1438" stopIfTrue="1" operator="equal">
      <formula>$A$33</formula>
    </cfRule>
  </conditionalFormatting>
  <conditionalFormatting sqref="AU18">
    <cfRule type="cellIs" dxfId="1294" priority="1437" stopIfTrue="1" operator="equal">
      <formula>$A$33</formula>
    </cfRule>
  </conditionalFormatting>
  <conditionalFormatting sqref="AU18">
    <cfRule type="cellIs" dxfId="1293" priority="1436" stopIfTrue="1" operator="equal">
      <formula>$A$33</formula>
    </cfRule>
  </conditionalFormatting>
  <conditionalFormatting sqref="AU18">
    <cfRule type="cellIs" dxfId="1292" priority="1435" stopIfTrue="1" operator="equal">
      <formula>$A$33</formula>
    </cfRule>
  </conditionalFormatting>
  <conditionalFormatting sqref="AU18">
    <cfRule type="cellIs" dxfId="1291" priority="1434" stopIfTrue="1" operator="equal">
      <formula>$A$33</formula>
    </cfRule>
  </conditionalFormatting>
  <conditionalFormatting sqref="AU18">
    <cfRule type="cellIs" dxfId="1290" priority="1433" stopIfTrue="1" operator="equal">
      <formula>$A$33</formula>
    </cfRule>
  </conditionalFormatting>
  <conditionalFormatting sqref="AU18">
    <cfRule type="cellIs" dxfId="1289" priority="1432" stopIfTrue="1" operator="equal">
      <formula>$A$33</formula>
    </cfRule>
  </conditionalFormatting>
  <conditionalFormatting sqref="AU18">
    <cfRule type="cellIs" dxfId="1288" priority="1431" stopIfTrue="1" operator="equal">
      <formula>$A$33</formula>
    </cfRule>
  </conditionalFormatting>
  <conditionalFormatting sqref="AU18">
    <cfRule type="cellIs" dxfId="1287" priority="1430" stopIfTrue="1" operator="equal">
      <formula>$A$33</formula>
    </cfRule>
  </conditionalFormatting>
  <conditionalFormatting sqref="AU18">
    <cfRule type="cellIs" dxfId="1286" priority="1429" stopIfTrue="1" operator="equal">
      <formula>$A$33</formula>
    </cfRule>
  </conditionalFormatting>
  <conditionalFormatting sqref="AU18">
    <cfRule type="cellIs" dxfId="1285" priority="1428" stopIfTrue="1" operator="equal">
      <formula>$A$33</formula>
    </cfRule>
  </conditionalFormatting>
  <conditionalFormatting sqref="AU18">
    <cfRule type="cellIs" dxfId="1284" priority="1427" stopIfTrue="1" operator="equal">
      <formula>$A$33</formula>
    </cfRule>
  </conditionalFormatting>
  <conditionalFormatting sqref="AU18">
    <cfRule type="cellIs" dxfId="1283" priority="1426" stopIfTrue="1" operator="equal">
      <formula>$A$33</formula>
    </cfRule>
  </conditionalFormatting>
  <conditionalFormatting sqref="AW18">
    <cfRule type="cellIs" dxfId="1282" priority="1425" stopIfTrue="1" operator="equal">
      <formula>$A$33</formula>
    </cfRule>
  </conditionalFormatting>
  <conditionalFormatting sqref="AW18">
    <cfRule type="cellIs" dxfId="1281" priority="1424" stopIfTrue="1" operator="equal">
      <formula>$A$33</formula>
    </cfRule>
  </conditionalFormatting>
  <conditionalFormatting sqref="AW18">
    <cfRule type="cellIs" dxfId="1280" priority="1423" stopIfTrue="1" operator="equal">
      <formula>$A$33</formula>
    </cfRule>
  </conditionalFormatting>
  <conditionalFormatting sqref="AW18">
    <cfRule type="cellIs" dxfId="1279" priority="1422" stopIfTrue="1" operator="equal">
      <formula>$A$33</formula>
    </cfRule>
  </conditionalFormatting>
  <conditionalFormatting sqref="AW18">
    <cfRule type="cellIs" dxfId="1278" priority="1421" stopIfTrue="1" operator="equal">
      <formula>$A$33</formula>
    </cfRule>
  </conditionalFormatting>
  <conditionalFormatting sqref="AW18">
    <cfRule type="cellIs" dxfId="1277" priority="1420" stopIfTrue="1" operator="equal">
      <formula>$A$33</formula>
    </cfRule>
  </conditionalFormatting>
  <conditionalFormatting sqref="AW18">
    <cfRule type="cellIs" dxfId="1276" priority="1419" stopIfTrue="1" operator="equal">
      <formula>$A$33</formula>
    </cfRule>
  </conditionalFormatting>
  <conditionalFormatting sqref="AW18">
    <cfRule type="cellIs" dxfId="1275" priority="1418" stopIfTrue="1" operator="equal">
      <formula>$A$33</formula>
    </cfRule>
  </conditionalFormatting>
  <conditionalFormatting sqref="AW18">
    <cfRule type="cellIs" dxfId="1274" priority="1417" stopIfTrue="1" operator="equal">
      <formula>$A$33</formula>
    </cfRule>
  </conditionalFormatting>
  <conditionalFormatting sqref="AW18">
    <cfRule type="cellIs" dxfId="1273" priority="1416" stopIfTrue="1" operator="equal">
      <formula>$A$33</formula>
    </cfRule>
  </conditionalFormatting>
  <conditionalFormatting sqref="AW18">
    <cfRule type="cellIs" dxfId="1272" priority="1415" stopIfTrue="1" operator="equal">
      <formula>$A$33</formula>
    </cfRule>
  </conditionalFormatting>
  <conditionalFormatting sqref="AW18">
    <cfRule type="cellIs" dxfId="1271" priority="1414" stopIfTrue="1" operator="equal">
      <formula>$A$33</formula>
    </cfRule>
  </conditionalFormatting>
  <conditionalFormatting sqref="AW18">
    <cfRule type="cellIs" dxfId="1270" priority="1413" stopIfTrue="1" operator="equal">
      <formula>$A$33</formula>
    </cfRule>
  </conditionalFormatting>
  <conditionalFormatting sqref="AW18">
    <cfRule type="cellIs" dxfId="1269" priority="1412" stopIfTrue="1" operator="equal">
      <formula>$A$33</formula>
    </cfRule>
  </conditionalFormatting>
  <conditionalFormatting sqref="AU19">
    <cfRule type="cellIs" dxfId="1268" priority="1411" stopIfTrue="1" operator="equal">
      <formula>$A$32</formula>
    </cfRule>
  </conditionalFormatting>
  <conditionalFormatting sqref="AU19">
    <cfRule type="cellIs" dxfId="1267" priority="1410" stopIfTrue="1" operator="equal">
      <formula>$A$33</formula>
    </cfRule>
  </conditionalFormatting>
  <conditionalFormatting sqref="AU19">
    <cfRule type="cellIs" dxfId="1266" priority="1409" stopIfTrue="1" operator="equal">
      <formula>$A$32</formula>
    </cfRule>
  </conditionalFormatting>
  <conditionalFormatting sqref="AU19">
    <cfRule type="cellIs" dxfId="1265" priority="1408" stopIfTrue="1" operator="equal">
      <formula>$A$33</formula>
    </cfRule>
  </conditionalFormatting>
  <conditionalFormatting sqref="AU19">
    <cfRule type="cellIs" dxfId="1264" priority="1407" stopIfTrue="1" operator="equal">
      <formula>$A$32</formula>
    </cfRule>
  </conditionalFormatting>
  <conditionalFormatting sqref="AU19">
    <cfRule type="cellIs" dxfId="1263" priority="1406" stopIfTrue="1" operator="equal">
      <formula>$A$33</formula>
    </cfRule>
  </conditionalFormatting>
  <conditionalFormatting sqref="AU19">
    <cfRule type="cellIs" dxfId="1262" priority="1405" stopIfTrue="1" operator="equal">
      <formula>$A$32</formula>
    </cfRule>
  </conditionalFormatting>
  <conditionalFormatting sqref="AU19">
    <cfRule type="cellIs" dxfId="1261" priority="1404" stopIfTrue="1" operator="equal">
      <formula>$A$33</formula>
    </cfRule>
  </conditionalFormatting>
  <conditionalFormatting sqref="AU19">
    <cfRule type="cellIs" dxfId="1260" priority="1403" stopIfTrue="1" operator="equal">
      <formula>$A$32</formula>
    </cfRule>
  </conditionalFormatting>
  <conditionalFormatting sqref="AU19">
    <cfRule type="cellIs" dxfId="1259" priority="1402" stopIfTrue="1" operator="equal">
      <formula>$A$33</formula>
    </cfRule>
  </conditionalFormatting>
  <conditionalFormatting sqref="AU19">
    <cfRule type="cellIs" dxfId="1258" priority="1401" stopIfTrue="1" operator="equal">
      <formula>$A$32</formula>
    </cfRule>
  </conditionalFormatting>
  <conditionalFormatting sqref="AU19">
    <cfRule type="cellIs" dxfId="1257" priority="1400" stopIfTrue="1" operator="equal">
      <formula>$A$33</formula>
    </cfRule>
  </conditionalFormatting>
  <conditionalFormatting sqref="AU19">
    <cfRule type="cellIs" dxfId="1256" priority="1399" stopIfTrue="1" operator="equal">
      <formula>$A$32</formula>
    </cfRule>
  </conditionalFormatting>
  <conditionalFormatting sqref="AU19">
    <cfRule type="cellIs" dxfId="1255" priority="1398" stopIfTrue="1" operator="equal">
      <formula>$A$33</formula>
    </cfRule>
  </conditionalFormatting>
  <conditionalFormatting sqref="AU19">
    <cfRule type="cellIs" dxfId="1254" priority="1397" stopIfTrue="1" operator="equal">
      <formula>$A$32</formula>
    </cfRule>
  </conditionalFormatting>
  <conditionalFormatting sqref="AU19">
    <cfRule type="cellIs" dxfId="1253" priority="1396" stopIfTrue="1" operator="equal">
      <formula>$A$33</formula>
    </cfRule>
  </conditionalFormatting>
  <conditionalFormatting sqref="AU19">
    <cfRule type="cellIs" dxfId="1252" priority="1395" stopIfTrue="1" operator="equal">
      <formula>$A$32</formula>
    </cfRule>
  </conditionalFormatting>
  <conditionalFormatting sqref="AU19">
    <cfRule type="cellIs" dxfId="1251" priority="1394" stopIfTrue="1" operator="equal">
      <formula>$A$33</formula>
    </cfRule>
  </conditionalFormatting>
  <conditionalFormatting sqref="AU19">
    <cfRule type="cellIs" dxfId="1250" priority="1393" stopIfTrue="1" operator="equal">
      <formula>$A$32</formula>
    </cfRule>
  </conditionalFormatting>
  <conditionalFormatting sqref="AU19">
    <cfRule type="cellIs" dxfId="1249" priority="1392" stopIfTrue="1" operator="equal">
      <formula>$A$33</formula>
    </cfRule>
  </conditionalFormatting>
  <conditionalFormatting sqref="AU19">
    <cfRule type="cellIs" dxfId="1248" priority="1391" stopIfTrue="1" operator="equal">
      <formula>$A$32</formula>
    </cfRule>
  </conditionalFormatting>
  <conditionalFormatting sqref="AU19">
    <cfRule type="cellIs" dxfId="1247" priority="1390" stopIfTrue="1" operator="equal">
      <formula>$A$33</formula>
    </cfRule>
  </conditionalFormatting>
  <conditionalFormatting sqref="AU19">
    <cfRule type="cellIs" dxfId="1246" priority="1389" stopIfTrue="1" operator="equal">
      <formula>$A$32</formula>
    </cfRule>
  </conditionalFormatting>
  <conditionalFormatting sqref="AU19">
    <cfRule type="cellIs" dxfId="1245" priority="1388" stopIfTrue="1" operator="equal">
      <formula>$A$33</formula>
    </cfRule>
  </conditionalFormatting>
  <conditionalFormatting sqref="AU19">
    <cfRule type="cellIs" dxfId="1244" priority="1387" stopIfTrue="1" operator="equal">
      <formula>$A$32</formula>
    </cfRule>
  </conditionalFormatting>
  <conditionalFormatting sqref="AU19">
    <cfRule type="cellIs" dxfId="1243" priority="1386" stopIfTrue="1" operator="equal">
      <formula>$A$33</formula>
    </cfRule>
  </conditionalFormatting>
  <conditionalFormatting sqref="AU19">
    <cfRule type="cellIs" dxfId="1242" priority="1385" stopIfTrue="1" operator="equal">
      <formula>$A$32</formula>
    </cfRule>
  </conditionalFormatting>
  <conditionalFormatting sqref="AU19">
    <cfRule type="cellIs" dxfId="1241" priority="1384" stopIfTrue="1" operator="equal">
      <formula>$A$33</formula>
    </cfRule>
  </conditionalFormatting>
  <conditionalFormatting sqref="AU19">
    <cfRule type="cellIs" dxfId="1240" priority="1383" stopIfTrue="1" operator="equal">
      <formula>$A$32</formula>
    </cfRule>
  </conditionalFormatting>
  <conditionalFormatting sqref="AW19">
    <cfRule type="cellIs" dxfId="1239" priority="1382" stopIfTrue="1" operator="equal">
      <formula>$A$32</formula>
    </cfRule>
  </conditionalFormatting>
  <conditionalFormatting sqref="AW19">
    <cfRule type="cellIs" dxfId="1238" priority="1381" stopIfTrue="1" operator="equal">
      <formula>$A$33</formula>
    </cfRule>
  </conditionalFormatting>
  <conditionalFormatting sqref="AW19">
    <cfRule type="cellIs" dxfId="1237" priority="1380" stopIfTrue="1" operator="equal">
      <formula>$A$32</formula>
    </cfRule>
  </conditionalFormatting>
  <conditionalFormatting sqref="AW19">
    <cfRule type="cellIs" dxfId="1236" priority="1379" stopIfTrue="1" operator="equal">
      <formula>$A$33</formula>
    </cfRule>
  </conditionalFormatting>
  <conditionalFormatting sqref="AW19">
    <cfRule type="cellIs" dxfId="1235" priority="1378" stopIfTrue="1" operator="equal">
      <formula>$A$32</formula>
    </cfRule>
  </conditionalFormatting>
  <conditionalFormatting sqref="AW19">
    <cfRule type="cellIs" dxfId="1234" priority="1377" stopIfTrue="1" operator="equal">
      <formula>$A$33</formula>
    </cfRule>
  </conditionalFormatting>
  <conditionalFormatting sqref="AW19">
    <cfRule type="cellIs" dxfId="1233" priority="1376" stopIfTrue="1" operator="equal">
      <formula>$A$32</formula>
    </cfRule>
  </conditionalFormatting>
  <conditionalFormatting sqref="AW19">
    <cfRule type="cellIs" dxfId="1232" priority="1375" stopIfTrue="1" operator="equal">
      <formula>$A$33</formula>
    </cfRule>
  </conditionalFormatting>
  <conditionalFormatting sqref="AW19">
    <cfRule type="cellIs" dxfId="1231" priority="1374" stopIfTrue="1" operator="equal">
      <formula>$A$32</formula>
    </cfRule>
  </conditionalFormatting>
  <conditionalFormatting sqref="AW19">
    <cfRule type="cellIs" dxfId="1230" priority="1373" stopIfTrue="1" operator="equal">
      <formula>$A$33</formula>
    </cfRule>
  </conditionalFormatting>
  <conditionalFormatting sqref="AW19">
    <cfRule type="cellIs" dxfId="1229" priority="1372" stopIfTrue="1" operator="equal">
      <formula>$A$32</formula>
    </cfRule>
  </conditionalFormatting>
  <conditionalFormatting sqref="AW19">
    <cfRule type="cellIs" dxfId="1228" priority="1371" stopIfTrue="1" operator="equal">
      <formula>$A$33</formula>
    </cfRule>
  </conditionalFormatting>
  <conditionalFormatting sqref="AW19">
    <cfRule type="cellIs" dxfId="1227" priority="1370" stopIfTrue="1" operator="equal">
      <formula>$A$32</formula>
    </cfRule>
  </conditionalFormatting>
  <conditionalFormatting sqref="AW19">
    <cfRule type="cellIs" dxfId="1226" priority="1369" stopIfTrue="1" operator="equal">
      <formula>$A$33</formula>
    </cfRule>
  </conditionalFormatting>
  <conditionalFormatting sqref="AW19">
    <cfRule type="cellIs" dxfId="1225" priority="1368" stopIfTrue="1" operator="equal">
      <formula>$A$32</formula>
    </cfRule>
  </conditionalFormatting>
  <conditionalFormatting sqref="AW19">
    <cfRule type="cellIs" dxfId="1224" priority="1367" stopIfTrue="1" operator="equal">
      <formula>$A$33</formula>
    </cfRule>
  </conditionalFormatting>
  <conditionalFormatting sqref="AW19">
    <cfRule type="cellIs" dxfId="1223" priority="1366" stopIfTrue="1" operator="equal">
      <formula>$A$32</formula>
    </cfRule>
  </conditionalFormatting>
  <conditionalFormatting sqref="AW19">
    <cfRule type="cellIs" dxfId="1222" priority="1365" stopIfTrue="1" operator="equal">
      <formula>$A$33</formula>
    </cfRule>
  </conditionalFormatting>
  <conditionalFormatting sqref="AW19">
    <cfRule type="cellIs" dxfId="1221" priority="1364" stopIfTrue="1" operator="equal">
      <formula>$A$32</formula>
    </cfRule>
  </conditionalFormatting>
  <conditionalFormatting sqref="AW19">
    <cfRule type="cellIs" dxfId="1220" priority="1363" stopIfTrue="1" operator="equal">
      <formula>$A$33</formula>
    </cfRule>
  </conditionalFormatting>
  <conditionalFormatting sqref="AW19">
    <cfRule type="cellIs" dxfId="1219" priority="1362" stopIfTrue="1" operator="equal">
      <formula>$A$32</formula>
    </cfRule>
  </conditionalFormatting>
  <conditionalFormatting sqref="AW19">
    <cfRule type="cellIs" dxfId="1218" priority="1361" stopIfTrue="1" operator="equal">
      <formula>$A$33</formula>
    </cfRule>
  </conditionalFormatting>
  <conditionalFormatting sqref="AW19">
    <cfRule type="cellIs" dxfId="1217" priority="1360" stopIfTrue="1" operator="equal">
      <formula>$A$32</formula>
    </cfRule>
  </conditionalFormatting>
  <conditionalFormatting sqref="AW19">
    <cfRule type="cellIs" dxfId="1216" priority="1359" stopIfTrue="1" operator="equal">
      <formula>$A$33</formula>
    </cfRule>
  </conditionalFormatting>
  <conditionalFormatting sqref="AW19">
    <cfRule type="cellIs" dxfId="1215" priority="1358" stopIfTrue="1" operator="equal">
      <formula>$A$32</formula>
    </cfRule>
  </conditionalFormatting>
  <conditionalFormatting sqref="AW19">
    <cfRule type="cellIs" dxfId="1214" priority="1357" stopIfTrue="1" operator="equal">
      <formula>$A$33</formula>
    </cfRule>
  </conditionalFormatting>
  <conditionalFormatting sqref="AW19">
    <cfRule type="cellIs" dxfId="1213" priority="1356" stopIfTrue="1" operator="equal">
      <formula>$A$32</formula>
    </cfRule>
  </conditionalFormatting>
  <conditionalFormatting sqref="AW19">
    <cfRule type="cellIs" dxfId="1212" priority="1355" stopIfTrue="1" operator="equal">
      <formula>$A$33</formula>
    </cfRule>
  </conditionalFormatting>
  <conditionalFormatting sqref="AW19">
    <cfRule type="cellIs" dxfId="1211" priority="1354" stopIfTrue="1" operator="equal">
      <formula>$A$32</formula>
    </cfRule>
  </conditionalFormatting>
  <conditionalFormatting sqref="DG17">
    <cfRule type="cellIs" dxfId="1210" priority="740" stopIfTrue="1" operator="equal">
      <formula>$A$32</formula>
    </cfRule>
  </conditionalFormatting>
  <conditionalFormatting sqref="DG8">
    <cfRule type="cellIs" dxfId="1209" priority="737" stopIfTrue="1" operator="equal">
      <formula>$A$33</formula>
    </cfRule>
  </conditionalFormatting>
  <conditionalFormatting sqref="P16:R17">
    <cfRule type="cellIs" dxfId="1208" priority="736" stopIfTrue="1" operator="equal">
      <formula>$A$32</formula>
    </cfRule>
  </conditionalFormatting>
  <conditionalFormatting sqref="DH8">
    <cfRule type="cellIs" dxfId="1207" priority="735" stopIfTrue="1" operator="equal">
      <formula>$A$33</formula>
    </cfRule>
  </conditionalFormatting>
  <conditionalFormatting sqref="DI8">
    <cfRule type="cellIs" dxfId="1206" priority="734" stopIfTrue="1" operator="equal">
      <formula>$A$33</formula>
    </cfRule>
  </conditionalFormatting>
  <conditionalFormatting sqref="DK8">
    <cfRule type="cellIs" dxfId="1205" priority="729" stopIfTrue="1" operator="equal">
      <formula>$A$33</formula>
    </cfRule>
  </conditionalFormatting>
  <conditionalFormatting sqref="DL8">
    <cfRule type="cellIs" dxfId="1204" priority="725" stopIfTrue="1" operator="equal">
      <formula>$A$33</formula>
    </cfRule>
  </conditionalFormatting>
  <conditionalFormatting sqref="BY12:BZ13">
    <cfRule type="cellIs" dxfId="1203" priority="662" stopIfTrue="1" operator="equal">
      <formula>$A$33</formula>
    </cfRule>
  </conditionalFormatting>
  <conditionalFormatting sqref="BY11:BZ11">
    <cfRule type="cellIs" dxfId="1202" priority="663" stopIfTrue="1" operator="equal">
      <formula>$A$32</formula>
    </cfRule>
  </conditionalFormatting>
  <conditionalFormatting sqref="BY18:BZ18">
    <cfRule type="cellIs" dxfId="1201" priority="660" stopIfTrue="1" operator="equal">
      <formula>$A$33</formula>
    </cfRule>
  </conditionalFormatting>
  <conditionalFormatting sqref="BY17:BZ17">
    <cfRule type="cellIs" dxfId="1200" priority="661" stopIfTrue="1" operator="equal">
      <formula>$A$32</formula>
    </cfRule>
  </conditionalFormatting>
  <conditionalFormatting sqref="DM1:DU1">
    <cfRule type="cellIs" dxfId="1199" priority="655" stopIfTrue="1" operator="equal">
      <formula>$A$33</formula>
    </cfRule>
  </conditionalFormatting>
  <conditionalFormatting sqref="DM1:DU1">
    <cfRule type="cellIs" dxfId="1198" priority="654" stopIfTrue="1" operator="equal">
      <formula>$A$33</formula>
    </cfRule>
  </conditionalFormatting>
  <conditionalFormatting sqref="DM1:DU1">
    <cfRule type="cellIs" dxfId="1197" priority="653" stopIfTrue="1" operator="equal">
      <formula>$A$33</formula>
    </cfRule>
  </conditionalFormatting>
  <conditionalFormatting sqref="DM8:DU8">
    <cfRule type="cellIs" dxfId="1196" priority="652" stopIfTrue="1" operator="equal">
      <formula>$A$33</formula>
    </cfRule>
  </conditionalFormatting>
  <conditionalFormatting sqref="DV8:DX8">
    <cfRule type="cellIs" dxfId="1195" priority="639" stopIfTrue="1" operator="equal">
      <formula>$A$33</formula>
    </cfRule>
  </conditionalFormatting>
  <conditionalFormatting sqref="DV1">
    <cfRule type="cellIs" dxfId="1194" priority="638" stopIfTrue="1" operator="equal">
      <formula>$A$33</formula>
    </cfRule>
  </conditionalFormatting>
  <conditionalFormatting sqref="DV1">
    <cfRule type="cellIs" dxfId="1193" priority="637" stopIfTrue="1" operator="equal">
      <formula>$A$33</formula>
    </cfRule>
  </conditionalFormatting>
  <conditionalFormatting sqref="DV1">
    <cfRule type="cellIs" dxfId="1192" priority="636" stopIfTrue="1" operator="equal">
      <formula>$A$33</formula>
    </cfRule>
  </conditionalFormatting>
  <conditionalFormatting sqref="DW1">
    <cfRule type="cellIs" dxfId="1191" priority="632" stopIfTrue="1" operator="equal">
      <formula>$A$33</formula>
    </cfRule>
  </conditionalFormatting>
  <conditionalFormatting sqref="DW1">
    <cfRule type="cellIs" dxfId="1190" priority="631" stopIfTrue="1" operator="equal">
      <formula>$A$33</formula>
    </cfRule>
  </conditionalFormatting>
  <conditionalFormatting sqref="DW1">
    <cfRule type="cellIs" dxfId="1189" priority="630" stopIfTrue="1" operator="equal">
      <formula>$A$33</formula>
    </cfRule>
  </conditionalFormatting>
  <conditionalFormatting sqref="DX1">
    <cfRule type="cellIs" dxfId="1188" priority="626" stopIfTrue="1" operator="equal">
      <formula>$A$33</formula>
    </cfRule>
  </conditionalFormatting>
  <conditionalFormatting sqref="DX1">
    <cfRule type="cellIs" dxfId="1187" priority="625" stopIfTrue="1" operator="equal">
      <formula>$A$33</formula>
    </cfRule>
  </conditionalFormatting>
  <conditionalFormatting sqref="DX1">
    <cfRule type="cellIs" dxfId="1186" priority="624" stopIfTrue="1" operator="equal">
      <formula>$A$33</formula>
    </cfRule>
  </conditionalFormatting>
  <conditionalFormatting sqref="DY1">
    <cfRule type="cellIs" dxfId="1185" priority="620" stopIfTrue="1" operator="equal">
      <formula>$A$33</formula>
    </cfRule>
  </conditionalFormatting>
  <conditionalFormatting sqref="DY1">
    <cfRule type="cellIs" dxfId="1184" priority="619" stopIfTrue="1" operator="equal">
      <formula>$A$33</formula>
    </cfRule>
  </conditionalFormatting>
  <conditionalFormatting sqref="DY1">
    <cfRule type="cellIs" dxfId="1183" priority="618" stopIfTrue="1" operator="equal">
      <formula>$A$33</formula>
    </cfRule>
  </conditionalFormatting>
  <conditionalFormatting sqref="DY8">
    <cfRule type="cellIs" dxfId="1182" priority="617" stopIfTrue="1" operator="equal">
      <formula>$A$33</formula>
    </cfRule>
  </conditionalFormatting>
  <conditionalFormatting sqref="DZ8:EA8">
    <cfRule type="cellIs" dxfId="1181" priority="613" stopIfTrue="1" operator="equal">
      <formula>$A$33</formula>
    </cfRule>
  </conditionalFormatting>
  <conditionalFormatting sqref="DZ1">
    <cfRule type="cellIs" dxfId="1180" priority="612" stopIfTrue="1" operator="equal">
      <formula>$A$33</formula>
    </cfRule>
  </conditionalFormatting>
  <conditionalFormatting sqref="DZ1">
    <cfRule type="cellIs" dxfId="1179" priority="611" stopIfTrue="1" operator="equal">
      <formula>$A$33</formula>
    </cfRule>
  </conditionalFormatting>
  <conditionalFormatting sqref="DZ1">
    <cfRule type="cellIs" dxfId="1178" priority="610" stopIfTrue="1" operator="equal">
      <formula>$A$33</formula>
    </cfRule>
  </conditionalFormatting>
  <conditionalFormatting sqref="EA1">
    <cfRule type="cellIs" dxfId="1177" priority="606" stopIfTrue="1" operator="equal">
      <formula>$A$33</formula>
    </cfRule>
  </conditionalFormatting>
  <conditionalFormatting sqref="EA1">
    <cfRule type="cellIs" dxfId="1176" priority="605" stopIfTrue="1" operator="equal">
      <formula>$A$33</formula>
    </cfRule>
  </conditionalFormatting>
  <conditionalFormatting sqref="EA1">
    <cfRule type="cellIs" dxfId="1175" priority="604" stopIfTrue="1" operator="equal">
      <formula>$A$33</formula>
    </cfRule>
  </conditionalFormatting>
  <conditionalFormatting sqref="DM21:EJ21">
    <cfRule type="cellIs" dxfId="1174" priority="600" stopIfTrue="1" operator="equal">
      <formula>$A$33</formula>
    </cfRule>
  </conditionalFormatting>
  <conditionalFormatting sqref="DM16:EA19">
    <cfRule type="cellIs" dxfId="1173" priority="593" stopIfTrue="1" operator="equal">
      <formula>$A$33</formula>
    </cfRule>
  </conditionalFormatting>
  <conditionalFormatting sqref="DM14:EA15">
    <cfRule type="cellIs" dxfId="1172" priority="589" stopIfTrue="1" operator="equal">
      <formula>$A$33</formula>
    </cfRule>
  </conditionalFormatting>
  <conditionalFormatting sqref="EB8:EJ8">
    <cfRule type="cellIs" dxfId="1171" priority="583" stopIfTrue="1" operator="equal">
      <formula>$A$33</formula>
    </cfRule>
  </conditionalFormatting>
  <conditionalFormatting sqref="EB14:EG15">
    <cfRule type="cellIs" dxfId="1170" priority="582" stopIfTrue="1" operator="equal">
      <formula>$A$33</formula>
    </cfRule>
  </conditionalFormatting>
  <conditionalFormatting sqref="EB9:EG9">
    <cfRule type="cellIs" dxfId="1169" priority="579" stopIfTrue="1" operator="equal">
      <formula>$A$33</formula>
    </cfRule>
  </conditionalFormatting>
  <conditionalFormatting sqref="EH14:EJ15">
    <cfRule type="cellIs" dxfId="1168" priority="569" stopIfTrue="1" operator="equal">
      <formula>$A$33</formula>
    </cfRule>
  </conditionalFormatting>
  <conditionalFormatting sqref="EH9:EJ9">
    <cfRule type="cellIs" dxfId="1167" priority="566" stopIfTrue="1" operator="equal">
      <formula>$A$33</formula>
    </cfRule>
  </conditionalFormatting>
  <conditionalFormatting sqref="EK20:EN20">
    <cfRule type="cellIs" dxfId="1166" priority="556" stopIfTrue="1" operator="equal">
      <formula>$A$33</formula>
    </cfRule>
  </conditionalFormatting>
  <conditionalFormatting sqref="EK21:EN21">
    <cfRule type="cellIs" dxfId="1165" priority="555" stopIfTrue="1" operator="equal">
      <formula>$A$33</formula>
    </cfRule>
  </conditionalFormatting>
  <conditionalFormatting sqref="EK8">
    <cfRule type="cellIs" dxfId="1164" priority="554" stopIfTrue="1" operator="equal">
      <formula>$A$33</formula>
    </cfRule>
  </conditionalFormatting>
  <conditionalFormatting sqref="EK14:EK15">
    <cfRule type="cellIs" dxfId="1163" priority="553" stopIfTrue="1" operator="equal">
      <formula>$A$33</formula>
    </cfRule>
  </conditionalFormatting>
  <conditionalFormatting sqref="EK9">
    <cfRule type="cellIs" dxfId="1162" priority="550" stopIfTrue="1" operator="equal">
      <formula>$A$33</formula>
    </cfRule>
  </conditionalFormatting>
  <conditionalFormatting sqref="EL17:EL19">
    <cfRule type="cellIs" dxfId="1161" priority="534" stopIfTrue="1" operator="equal">
      <formula>$A$33</formula>
    </cfRule>
  </conditionalFormatting>
  <conditionalFormatting sqref="EL8">
    <cfRule type="cellIs" dxfId="1160" priority="533" stopIfTrue="1" operator="equal">
      <formula>$A$33</formula>
    </cfRule>
  </conditionalFormatting>
  <conditionalFormatting sqref="EL14:EL15">
    <cfRule type="cellIs" dxfId="1159" priority="532" stopIfTrue="1" operator="equal">
      <formula>$A$33</formula>
    </cfRule>
  </conditionalFormatting>
  <conditionalFormatting sqref="EL9">
    <cfRule type="cellIs" dxfId="1158" priority="529" stopIfTrue="1" operator="equal">
      <formula>$A$33</formula>
    </cfRule>
  </conditionalFormatting>
  <conditionalFormatting sqref="EL16">
    <cfRule type="cellIs" dxfId="1157" priority="519" stopIfTrue="1" operator="equal">
      <formula>$A$33</formula>
    </cfRule>
  </conditionalFormatting>
  <conditionalFormatting sqref="EM17:EM19">
    <cfRule type="cellIs" dxfId="1156" priority="516" stopIfTrue="1" operator="equal">
      <formula>$A$33</formula>
    </cfRule>
  </conditionalFormatting>
  <conditionalFormatting sqref="EM8">
    <cfRule type="cellIs" dxfId="1155" priority="515" stopIfTrue="1" operator="equal">
      <formula>$A$33</formula>
    </cfRule>
  </conditionalFormatting>
  <conditionalFormatting sqref="EM15">
    <cfRule type="cellIs" dxfId="1154" priority="514" stopIfTrue="1" operator="equal">
      <formula>$A$33</formula>
    </cfRule>
  </conditionalFormatting>
  <conditionalFormatting sqref="EM9">
    <cfRule type="cellIs" dxfId="1153" priority="511" stopIfTrue="1" operator="equal">
      <formula>$A$33</formula>
    </cfRule>
  </conditionalFormatting>
  <conditionalFormatting sqref="EM16">
    <cfRule type="cellIs" dxfId="1152" priority="501" stopIfTrue="1" operator="equal">
      <formula>$A$33</formula>
    </cfRule>
  </conditionalFormatting>
  <conditionalFormatting sqref="EN17:EN19">
    <cfRule type="cellIs" dxfId="1151" priority="498" stopIfTrue="1" operator="equal">
      <formula>$A$33</formula>
    </cfRule>
  </conditionalFormatting>
  <conditionalFormatting sqref="EN8">
    <cfRule type="cellIs" dxfId="1150" priority="497" stopIfTrue="1" operator="equal">
      <formula>$A$33</formula>
    </cfRule>
  </conditionalFormatting>
  <conditionalFormatting sqref="EN15">
    <cfRule type="cellIs" dxfId="1149" priority="496" stopIfTrue="1" operator="equal">
      <formula>$A$33</formula>
    </cfRule>
  </conditionalFormatting>
  <conditionalFormatting sqref="EN9">
    <cfRule type="cellIs" dxfId="1148" priority="493" stopIfTrue="1" operator="equal">
      <formula>$A$33</formula>
    </cfRule>
  </conditionalFormatting>
  <conditionalFormatting sqref="EN16">
    <cfRule type="cellIs" dxfId="1147" priority="483" stopIfTrue="1" operator="equal">
      <formula>$A$33</formula>
    </cfRule>
  </conditionalFormatting>
  <conditionalFormatting sqref="EO8:EQ8">
    <cfRule type="cellIs" dxfId="1146" priority="414" stopIfTrue="1" operator="equal">
      <formula>$A$33</formula>
    </cfRule>
  </conditionalFormatting>
  <conditionalFormatting sqref="EP13">
    <cfRule type="cellIs" dxfId="1145" priority="362" stopIfTrue="1" operator="equal">
      <formula>$A$33</formula>
    </cfRule>
  </conditionalFormatting>
  <conditionalFormatting sqref="EP13">
    <cfRule type="cellIs" dxfId="1144" priority="361" stopIfTrue="1" operator="equal">
      <formula>$A$33</formula>
    </cfRule>
  </conditionalFormatting>
  <conditionalFormatting sqref="EP13">
    <cfRule type="cellIs" dxfId="1143" priority="360" stopIfTrue="1" operator="equal">
      <formula>$A$33</formula>
    </cfRule>
  </conditionalFormatting>
  <conditionalFormatting sqref="EP13">
    <cfRule type="cellIs" dxfId="1142" priority="359" stopIfTrue="1" operator="equal">
      <formula>$A$33</formula>
    </cfRule>
  </conditionalFormatting>
  <conditionalFormatting sqref="EP13">
    <cfRule type="cellIs" dxfId="1141" priority="358" stopIfTrue="1" operator="equal">
      <formula>$A$33</formula>
    </cfRule>
  </conditionalFormatting>
  <conditionalFormatting sqref="EP13">
    <cfRule type="cellIs" dxfId="1140" priority="357" stopIfTrue="1" operator="equal">
      <formula>$A$33</formula>
    </cfRule>
  </conditionalFormatting>
  <conditionalFormatting sqref="EP17">
    <cfRule type="cellIs" dxfId="1139" priority="356" stopIfTrue="1" operator="equal">
      <formula>$A$32</formula>
    </cfRule>
  </conditionalFormatting>
  <conditionalFormatting sqref="EP16">
    <cfRule type="cellIs" dxfId="1138" priority="355" stopIfTrue="1" operator="equal">
      <formula>$A$32</formula>
    </cfRule>
  </conditionalFormatting>
  <conditionalFormatting sqref="EP21">
    <cfRule type="cellIs" dxfId="1137" priority="320" stopIfTrue="1" operator="equal">
      <formula>$A$33</formula>
    </cfRule>
  </conditionalFormatting>
  <conditionalFormatting sqref="EP14">
    <cfRule type="cellIs" dxfId="1136" priority="319" stopIfTrue="1" operator="equal">
      <formula>$A$33</formula>
    </cfRule>
  </conditionalFormatting>
  <conditionalFormatting sqref="EP20">
    <cfRule type="cellIs" dxfId="1135" priority="318" stopIfTrue="1" operator="equal">
      <formula>$A$33</formula>
    </cfRule>
  </conditionalFormatting>
  <conditionalFormatting sqref="EQ13">
    <cfRule type="cellIs" dxfId="1134" priority="313" stopIfTrue="1" operator="equal">
      <formula>$A$33</formula>
    </cfRule>
  </conditionalFormatting>
  <conditionalFormatting sqref="EQ13">
    <cfRule type="cellIs" dxfId="1133" priority="312" stopIfTrue="1" operator="equal">
      <formula>$A$33</formula>
    </cfRule>
  </conditionalFormatting>
  <conditionalFormatting sqref="EQ13">
    <cfRule type="cellIs" dxfId="1132" priority="311" stopIfTrue="1" operator="equal">
      <formula>$A$33</formula>
    </cfRule>
  </conditionalFormatting>
  <conditionalFormatting sqref="EQ13">
    <cfRule type="cellIs" dxfId="1131" priority="310" stopIfTrue="1" operator="equal">
      <formula>$A$33</formula>
    </cfRule>
  </conditionalFormatting>
  <conditionalFormatting sqref="EQ13">
    <cfRule type="cellIs" dxfId="1130" priority="309" stopIfTrue="1" operator="equal">
      <formula>$A$33</formula>
    </cfRule>
  </conditionalFormatting>
  <conditionalFormatting sqref="EQ13">
    <cfRule type="cellIs" dxfId="1129" priority="308" stopIfTrue="1" operator="equal">
      <formula>$A$33</formula>
    </cfRule>
  </conditionalFormatting>
  <conditionalFormatting sqref="EQ17">
    <cfRule type="cellIs" dxfId="1128" priority="307" stopIfTrue="1" operator="equal">
      <formula>$A$32</formula>
    </cfRule>
  </conditionalFormatting>
  <conditionalFormatting sqref="EQ16">
    <cfRule type="cellIs" dxfId="1127" priority="306" stopIfTrue="1" operator="equal">
      <formula>$A$32</formula>
    </cfRule>
  </conditionalFormatting>
  <conditionalFormatting sqref="EQ21">
    <cfRule type="cellIs" dxfId="1126" priority="271" stopIfTrue="1" operator="equal">
      <formula>$A$33</formula>
    </cfRule>
  </conditionalFormatting>
  <conditionalFormatting sqref="EQ14">
    <cfRule type="cellIs" dxfId="1125" priority="270" stopIfTrue="1" operator="equal">
      <formula>$A$33</formula>
    </cfRule>
  </conditionalFormatting>
  <conditionalFormatting sqref="EQ20">
    <cfRule type="cellIs" dxfId="1124" priority="269" stopIfTrue="1" operator="equal">
      <formula>$A$33</formula>
    </cfRule>
  </conditionalFormatting>
  <conditionalFormatting sqref="ER8">
    <cfRule type="cellIs" dxfId="1123" priority="219" stopIfTrue="1" operator="equal">
      <formula>$A$33</formula>
    </cfRule>
  </conditionalFormatting>
  <conditionalFormatting sqref="ER15">
    <cfRule type="cellIs" dxfId="1122" priority="212" stopIfTrue="1" operator="equal">
      <formula>$A$33</formula>
    </cfRule>
  </conditionalFormatting>
  <conditionalFormatting sqref="EO13">
    <cfRule type="cellIs" dxfId="1121" priority="203" stopIfTrue="1" operator="equal">
      <formula>$A$33</formula>
    </cfRule>
  </conditionalFormatting>
  <conditionalFormatting sqref="EO13">
    <cfRule type="cellIs" dxfId="1120" priority="202" stopIfTrue="1" operator="equal">
      <formula>$A$33</formula>
    </cfRule>
  </conditionalFormatting>
  <conditionalFormatting sqref="EO13">
    <cfRule type="cellIs" dxfId="1119" priority="201" stopIfTrue="1" operator="equal">
      <formula>$A$33</formula>
    </cfRule>
  </conditionalFormatting>
  <conditionalFormatting sqref="EO13">
    <cfRule type="cellIs" dxfId="1118" priority="200" stopIfTrue="1" operator="equal">
      <formula>$A$33</formula>
    </cfRule>
  </conditionalFormatting>
  <conditionalFormatting sqref="EO13">
    <cfRule type="cellIs" dxfId="1117" priority="199" stopIfTrue="1" operator="equal">
      <formula>$A$33</formula>
    </cfRule>
  </conditionalFormatting>
  <conditionalFormatting sqref="EO13">
    <cfRule type="cellIs" dxfId="1116" priority="198" stopIfTrue="1" operator="equal">
      <formula>$A$33</formula>
    </cfRule>
  </conditionalFormatting>
  <conditionalFormatting sqref="ES8">
    <cfRule type="cellIs" dxfId="1115" priority="161" stopIfTrue="1" operator="equal">
      <formula>$A$33</formula>
    </cfRule>
  </conditionalFormatting>
  <conditionalFormatting sqref="ES15">
    <cfRule type="cellIs" dxfId="1114" priority="160" stopIfTrue="1" operator="equal">
      <formula>$A$33</formula>
    </cfRule>
  </conditionalFormatting>
  <conditionalFormatting sqref="ES11">
    <cfRule type="cellIs" dxfId="1113" priority="154" stopIfTrue="1" operator="equal">
      <formula>$A$32</formula>
    </cfRule>
  </conditionalFormatting>
  <conditionalFormatting sqref="ES13">
    <cfRule type="cellIs" dxfId="1112" priority="152" stopIfTrue="1" operator="equal">
      <formula>$A$33</formula>
    </cfRule>
  </conditionalFormatting>
  <conditionalFormatting sqref="ES13">
    <cfRule type="cellIs" dxfId="1111" priority="151" stopIfTrue="1" operator="equal">
      <formula>$A$33</formula>
    </cfRule>
  </conditionalFormatting>
  <conditionalFormatting sqref="ES13">
    <cfRule type="cellIs" dxfId="1110" priority="150" stopIfTrue="1" operator="equal">
      <formula>$A$33</formula>
    </cfRule>
  </conditionalFormatting>
  <conditionalFormatting sqref="ES13">
    <cfRule type="cellIs" dxfId="1109" priority="149" stopIfTrue="1" operator="equal">
      <formula>$A$33</formula>
    </cfRule>
  </conditionalFormatting>
  <conditionalFormatting sqref="ES13">
    <cfRule type="cellIs" dxfId="1108" priority="148" stopIfTrue="1" operator="equal">
      <formula>$A$33</formula>
    </cfRule>
  </conditionalFormatting>
  <conditionalFormatting sqref="ES13">
    <cfRule type="cellIs" dxfId="1107" priority="147" stopIfTrue="1" operator="equal">
      <formula>$A$33</formula>
    </cfRule>
  </conditionalFormatting>
  <conditionalFormatting sqref="ES16:ES19">
    <cfRule type="cellIs" dxfId="1106" priority="145" stopIfTrue="1" operator="equal">
      <formula>$A$33</formula>
    </cfRule>
  </conditionalFormatting>
  <conditionalFormatting sqref="ES17">
    <cfRule type="cellIs" dxfId="1105" priority="146" stopIfTrue="1" operator="equal">
      <formula>$A$32</formula>
    </cfRule>
  </conditionalFormatting>
  <conditionalFormatting sqref="ES17">
    <cfRule type="cellIs" dxfId="1104" priority="144" stopIfTrue="1" operator="equal">
      <formula>$A$32</formula>
    </cfRule>
  </conditionalFormatting>
  <conditionalFormatting sqref="ES16">
    <cfRule type="cellIs" dxfId="1103" priority="143" stopIfTrue="1" operator="equal">
      <formula>$A$32</formula>
    </cfRule>
  </conditionalFormatting>
  <conditionalFormatting sqref="ES14">
    <cfRule type="cellIs" dxfId="1102" priority="100" stopIfTrue="1" operator="equal">
      <formula>$A$33</formula>
    </cfRule>
  </conditionalFormatting>
  <conditionalFormatting sqref="ES20">
    <cfRule type="cellIs" dxfId="1101" priority="99" stopIfTrue="1" operator="equal">
      <formula>$A$33</formula>
    </cfRule>
  </conditionalFormatting>
  <conditionalFormatting sqref="ET8">
    <cfRule type="cellIs" dxfId="1100" priority="86" stopIfTrue="1" operator="equal">
      <formula>$A$33</formula>
    </cfRule>
  </conditionalFormatting>
  <conditionalFormatting sqref="ET15">
    <cfRule type="cellIs" dxfId="1099" priority="85" stopIfTrue="1" operator="equal">
      <formula>$A$33</formula>
    </cfRule>
  </conditionalFormatting>
  <conditionalFormatting sqref="ET14">
    <cfRule type="cellIs" dxfId="1098" priority="80" stopIfTrue="1" operator="equal">
      <formula>$A$33</formula>
    </cfRule>
  </conditionalFormatting>
  <conditionalFormatting sqref="EU8">
    <cfRule type="cellIs" dxfId="1097" priority="79" stopIfTrue="1" operator="equal">
      <formula>$A$33</formula>
    </cfRule>
  </conditionalFormatting>
  <conditionalFormatting sqref="EU15">
    <cfRule type="cellIs" dxfId="1096" priority="78" stopIfTrue="1" operator="equal">
      <formula>$A$33</formula>
    </cfRule>
  </conditionalFormatting>
  <conditionalFormatting sqref="EU14">
    <cfRule type="cellIs" dxfId="1095" priority="73" stopIfTrue="1" operator="equal">
      <formula>$A$33</formula>
    </cfRule>
  </conditionalFormatting>
  <conditionalFormatting sqref="EU20">
    <cfRule type="cellIs" dxfId="1094" priority="72" stopIfTrue="1" operator="equal">
      <formula>$A$33</formula>
    </cfRule>
  </conditionalFormatting>
  <conditionalFormatting sqref="EV14:EW14">
    <cfRule type="cellIs" dxfId="1093" priority="58" stopIfTrue="1" operator="equal">
      <formula>$A$33</formula>
    </cfRule>
  </conditionalFormatting>
  <conditionalFormatting sqref="EV8">
    <cfRule type="cellIs" dxfId="1092" priority="57" stopIfTrue="1" operator="equal">
      <formula>$A$33</formula>
    </cfRule>
  </conditionalFormatting>
  <conditionalFormatting sqref="EV11">
    <cfRule type="cellIs" dxfId="1091" priority="56" stopIfTrue="1" operator="equal">
      <formula>$A$32</formula>
    </cfRule>
  </conditionalFormatting>
  <conditionalFormatting sqref="EW8">
    <cfRule type="cellIs" dxfId="1090" priority="50" stopIfTrue="1" operator="equal">
      <formula>$A$33</formula>
    </cfRule>
  </conditionalFormatting>
  <conditionalFormatting sqref="EW11">
    <cfRule type="cellIs" dxfId="1089" priority="49" stopIfTrue="1" operator="equal">
      <formula>$A$32</formula>
    </cfRule>
  </conditionalFormatting>
  <conditionalFormatting sqref="EX8">
    <cfRule type="cellIs" dxfId="1088" priority="44" stopIfTrue="1" operator="equal">
      <formula>$A$33</formula>
    </cfRule>
  </conditionalFormatting>
  <conditionalFormatting sqref="EX14">
    <cfRule type="cellIs" dxfId="1087" priority="43" stopIfTrue="1" operator="equal">
      <formula>$A$33</formula>
    </cfRule>
  </conditionalFormatting>
  <conditionalFormatting sqref="EX20">
    <cfRule type="cellIs" dxfId="1086" priority="42" stopIfTrue="1" operator="equal">
      <formula>$A$33</formula>
    </cfRule>
  </conditionalFormatting>
  <conditionalFormatting sqref="EX17:EX19">
    <cfRule type="cellIs" dxfId="1085" priority="40" stopIfTrue="1" operator="equal">
      <formula>$A$33</formula>
    </cfRule>
  </conditionalFormatting>
  <conditionalFormatting sqref="EX15">
    <cfRule type="cellIs" dxfId="1084" priority="39" stopIfTrue="1" operator="equal">
      <formula>$A$33</formula>
    </cfRule>
  </conditionalFormatting>
  <conditionalFormatting sqref="EX9">
    <cfRule type="cellIs" dxfId="1083" priority="36" stopIfTrue="1" operator="equal">
      <formula>$A$33</formula>
    </cfRule>
  </conditionalFormatting>
  <conditionalFormatting sqref="EX16">
    <cfRule type="cellIs" dxfId="1082" priority="26" stopIfTrue="1" operator="equal">
      <formula>$A$33</formula>
    </cfRule>
  </conditionalFormatting>
  <conditionalFormatting sqref="EY8">
    <cfRule type="cellIs" dxfId="1081" priority="22" stopIfTrue="1" operator="equal">
      <formula>$A$33</formula>
    </cfRule>
  </conditionalFormatting>
  <conditionalFormatting sqref="EY14">
    <cfRule type="cellIs" dxfId="1080" priority="21" stopIfTrue="1" operator="equal">
      <formula>$A$33</formula>
    </cfRule>
  </conditionalFormatting>
  <conditionalFormatting sqref="EY20">
    <cfRule type="cellIs" dxfId="1079" priority="20" stopIfTrue="1" operator="equal">
      <formula>$A$33</formula>
    </cfRule>
  </conditionalFormatting>
  <conditionalFormatting sqref="EY17:EY19">
    <cfRule type="cellIs" dxfId="1078" priority="18" stopIfTrue="1" operator="equal">
      <formula>$A$33</formula>
    </cfRule>
  </conditionalFormatting>
  <conditionalFormatting sqref="EY15">
    <cfRule type="cellIs" dxfId="1077" priority="17" stopIfTrue="1" operator="equal">
      <formula>$A$33</formula>
    </cfRule>
  </conditionalFormatting>
  <conditionalFormatting sqref="EY9">
    <cfRule type="cellIs" dxfId="1076" priority="14" stopIfTrue="1" operator="equal">
      <formula>$A$33</formula>
    </cfRule>
  </conditionalFormatting>
  <conditionalFormatting sqref="EY16">
    <cfRule type="cellIs" dxfId="1075" priority="4" stopIfTrue="1" operator="equal">
      <formula>$A$33</formula>
    </cfRule>
  </conditionalFormatting>
  <conditionalFormatting sqref="I10:R10">
    <cfRule type="cellIs" dxfId="1074" priority="3270" stopIfTrue="1" operator="equal">
      <formula>$B$32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7"/>
    <col min="152" max="16384" width="11.42578125" style="8"/>
  </cols>
  <sheetData>
    <row r="1" spans="1:155" ht="13.5" thickBot="1">
      <c r="A1" s="8">
        <v>4</v>
      </c>
      <c r="DF1" s="30" t="s">
        <v>450</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CORDOBA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428</v>
      </c>
      <c r="BN5" s="1464"/>
      <c r="BO5" s="1465"/>
      <c r="BP5" s="1464"/>
      <c r="BQ5" s="1465"/>
      <c r="BR5" s="1464"/>
      <c r="BS5" s="1465"/>
      <c r="BT5" s="1464"/>
      <c r="BU5" s="1465"/>
      <c r="BV5" s="1617" t="s">
        <v>299</v>
      </c>
      <c r="BW5" s="1654" t="s">
        <v>279</v>
      </c>
      <c r="BX5" s="1654"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508</v>
      </c>
      <c r="CL5" s="1534" t="s">
        <v>509</v>
      </c>
      <c r="CM5" s="1534" t="s">
        <v>510</v>
      </c>
      <c r="CN5" s="1550" t="s">
        <v>410</v>
      </c>
      <c r="CO5" s="1550" t="s">
        <v>403</v>
      </c>
      <c r="CP5" s="1550" t="s">
        <v>409</v>
      </c>
      <c r="CQ5" s="1553" t="s">
        <v>408</v>
      </c>
      <c r="CR5" s="1553" t="s">
        <v>44</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537</v>
      </c>
      <c r="DM5" s="1626" t="s">
        <v>591</v>
      </c>
      <c r="DN5" s="1626" t="s">
        <v>592</v>
      </c>
      <c r="DO5" s="1626" t="s">
        <v>593</v>
      </c>
      <c r="DP5" s="1626" t="s">
        <v>594</v>
      </c>
      <c r="DQ5" s="1626" t="s">
        <v>595</v>
      </c>
      <c r="DR5" s="1626" t="s">
        <v>596</v>
      </c>
      <c r="DS5" s="1626" t="s">
        <v>597</v>
      </c>
      <c r="DT5" s="1626" t="s">
        <v>598</v>
      </c>
      <c r="DU5" s="1639" t="s">
        <v>599</v>
      </c>
      <c r="DV5" s="1639" t="s">
        <v>600</v>
      </c>
      <c r="DW5" s="1636" t="s">
        <v>601</v>
      </c>
      <c r="DX5" s="1626" t="s">
        <v>602</v>
      </c>
      <c r="DY5" s="1633" t="s">
        <v>603</v>
      </c>
      <c r="DZ5" s="1636" t="s">
        <v>604</v>
      </c>
      <c r="EA5" s="1633" t="s">
        <v>605</v>
      </c>
      <c r="EB5" s="1630" t="s">
        <v>649</v>
      </c>
      <c r="EC5" s="1630" t="s">
        <v>682</v>
      </c>
      <c r="ED5" s="1630" t="s">
        <v>651</v>
      </c>
      <c r="EE5" s="1630" t="s">
        <v>686</v>
      </c>
      <c r="EF5" s="1630" t="s">
        <v>687</v>
      </c>
      <c r="EG5" s="1633" t="s">
        <v>688</v>
      </c>
      <c r="EH5" s="1633" t="s">
        <v>689</v>
      </c>
      <c r="EI5" s="1633" t="s">
        <v>653</v>
      </c>
      <c r="EJ5" s="1633" t="s">
        <v>654</v>
      </c>
      <c r="EK5" s="1657" t="s">
        <v>737</v>
      </c>
      <c r="EL5" s="1648" t="s">
        <v>753</v>
      </c>
      <c r="EM5" s="1649"/>
      <c r="EN5" s="1650"/>
      <c r="EO5" s="1546" t="s">
        <v>812</v>
      </c>
      <c r="EP5" s="1546" t="s">
        <v>814</v>
      </c>
      <c r="EQ5" s="1546" t="s">
        <v>815</v>
      </c>
      <c r="ER5" s="1546" t="s">
        <v>820</v>
      </c>
      <c r="ES5" s="1546" t="s">
        <v>825</v>
      </c>
      <c r="ET5" s="1642" t="s">
        <v>896</v>
      </c>
      <c r="EU5" s="1642" t="s">
        <v>897</v>
      </c>
      <c r="EV5" s="1549" t="s">
        <v>914</v>
      </c>
      <c r="EW5" s="1633" t="s">
        <v>917</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55"/>
      <c r="BX6" s="1655"/>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40"/>
      <c r="DV6" s="1640"/>
      <c r="DW6" s="1637"/>
      <c r="DX6" s="1433"/>
      <c r="DY6" s="1634"/>
      <c r="DZ6" s="1637"/>
      <c r="EA6" s="1634"/>
      <c r="EB6" s="1631"/>
      <c r="EC6" s="1631"/>
      <c r="ED6" s="1631"/>
      <c r="EE6" s="1631"/>
      <c r="EF6" s="1631"/>
      <c r="EG6" s="1634"/>
      <c r="EH6" s="1634"/>
      <c r="EI6" s="1634"/>
      <c r="EJ6" s="1634"/>
      <c r="EK6" s="1658"/>
      <c r="EL6" s="1651"/>
      <c r="EM6" s="1652"/>
      <c r="EN6" s="1653"/>
      <c r="EO6" s="1547"/>
      <c r="EP6" s="1547"/>
      <c r="EQ6" s="1547"/>
      <c r="ER6" s="1547"/>
      <c r="ES6" s="1547"/>
      <c r="ET6" s="1643"/>
      <c r="EU6" s="1643"/>
      <c r="EV6" s="1538"/>
      <c r="EW6" s="1634"/>
      <c r="EX6" s="1541"/>
      <c r="EY6" s="1529"/>
    </row>
    <row r="7" spans="1:155" ht="87" customHeight="1" thickBot="1">
      <c r="A7" s="71" t="s">
        <v>811</v>
      </c>
      <c r="B7" s="1580"/>
      <c r="C7" s="1583"/>
      <c r="D7" s="68" t="s">
        <v>441</v>
      </c>
      <c r="E7" s="69" t="s">
        <v>139</v>
      </c>
      <c r="F7" s="69" t="s">
        <v>138</v>
      </c>
      <c r="G7" s="123" t="s">
        <v>36</v>
      </c>
      <c r="H7" s="124" t="s">
        <v>442</v>
      </c>
      <c r="I7" s="9" t="s">
        <v>416</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56"/>
      <c r="BX7" s="1656"/>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41"/>
      <c r="DV7" s="1641"/>
      <c r="DW7" s="1638"/>
      <c r="DX7" s="1434"/>
      <c r="DY7" s="1635"/>
      <c r="DZ7" s="1638"/>
      <c r="EA7" s="1635"/>
      <c r="EB7" s="1632"/>
      <c r="EC7" s="1632"/>
      <c r="ED7" s="1632"/>
      <c r="EE7" s="1632"/>
      <c r="EF7" s="1632"/>
      <c r="EG7" s="1635"/>
      <c r="EH7" s="1635"/>
      <c r="EI7" s="1635"/>
      <c r="EJ7" s="1635"/>
      <c r="EK7" s="1659"/>
      <c r="EL7" s="746" t="s">
        <v>754</v>
      </c>
      <c r="EM7" s="746" t="s">
        <v>98</v>
      </c>
      <c r="EN7" s="746" t="s">
        <v>99</v>
      </c>
      <c r="EO7" s="1548"/>
      <c r="EP7" s="1548"/>
      <c r="EQ7" s="1548"/>
      <c r="ER7" s="1548"/>
      <c r="ES7" s="1548"/>
      <c r="ET7" s="1644"/>
      <c r="EU7" s="1644"/>
      <c r="EV7" s="1539"/>
      <c r="EW7" s="1635"/>
      <c r="EX7" s="1542"/>
      <c r="EY7" s="1530"/>
    </row>
    <row r="8" spans="1:155" ht="14.25" customHeight="1" thickBot="1">
      <c r="A8" s="72" t="s">
        <v>114</v>
      </c>
      <c r="B8" s="143" t="s">
        <v>443</v>
      </c>
      <c r="C8" s="144" t="s">
        <v>2</v>
      </c>
      <c r="D8" s="13"/>
      <c r="E8" s="14"/>
      <c r="F8" s="14"/>
      <c r="G8" s="15"/>
      <c r="H8" s="16"/>
      <c r="I8" s="52" t="s">
        <v>59</v>
      </c>
      <c r="J8" s="52" t="s">
        <v>50</v>
      </c>
      <c r="K8" s="52" t="s">
        <v>60</v>
      </c>
      <c r="L8" s="52" t="s">
        <v>61</v>
      </c>
      <c r="M8" s="52" t="s">
        <v>62</v>
      </c>
      <c r="N8" s="52" t="s">
        <v>63</v>
      </c>
      <c r="O8" s="52" t="s">
        <v>64</v>
      </c>
      <c r="P8" s="52" t="s">
        <v>65</v>
      </c>
      <c r="Q8" s="52" t="s">
        <v>66</v>
      </c>
      <c r="R8" s="52" t="s">
        <v>67</v>
      </c>
      <c r="S8" s="52" t="s">
        <v>68</v>
      </c>
      <c r="T8" s="52" t="s">
        <v>69</v>
      </c>
      <c r="U8" s="52" t="s">
        <v>70</v>
      </c>
      <c r="V8" s="52" t="s">
        <v>71</v>
      </c>
      <c r="W8" s="52" t="s">
        <v>72</v>
      </c>
      <c r="X8" s="52" t="s">
        <v>73</v>
      </c>
      <c r="Y8" s="52" t="s">
        <v>74</v>
      </c>
      <c r="Z8" s="52" t="s">
        <v>75</v>
      </c>
      <c r="AA8" s="52" t="s">
        <v>76</v>
      </c>
      <c r="AB8" s="52" t="s">
        <v>77</v>
      </c>
      <c r="AC8" s="52" t="s">
        <v>78</v>
      </c>
      <c r="AD8" s="52" t="s">
        <v>79</v>
      </c>
      <c r="AE8" s="52" t="s">
        <v>80</v>
      </c>
      <c r="AF8" s="52" t="s">
        <v>81</v>
      </c>
      <c r="AG8" s="52" t="s">
        <v>82</v>
      </c>
      <c r="AH8" s="52" t="s">
        <v>49</v>
      </c>
      <c r="AI8" s="52" t="s">
        <v>83</v>
      </c>
      <c r="AJ8" s="52" t="s">
        <v>84</v>
      </c>
      <c r="AK8" s="52" t="s">
        <v>85</v>
      </c>
      <c r="AL8" s="52" t="s">
        <v>86</v>
      </c>
      <c r="AM8" s="52" t="s">
        <v>87</v>
      </c>
      <c r="AN8" s="52" t="s">
        <v>180</v>
      </c>
      <c r="AO8" s="52" t="s">
        <v>88</v>
      </c>
      <c r="AP8" s="52" t="s">
        <v>91</v>
      </c>
      <c r="AQ8" s="52" t="s">
        <v>116</v>
      </c>
      <c r="AR8" s="52" t="s">
        <v>117</v>
      </c>
      <c r="AS8" s="52" t="s">
        <v>118</v>
      </c>
      <c r="AT8" s="52" t="s">
        <v>119</v>
      </c>
      <c r="AU8" s="52" t="s">
        <v>123</v>
      </c>
      <c r="AV8" s="52" t="s">
        <v>124</v>
      </c>
      <c r="AW8" s="52" t="s">
        <v>125</v>
      </c>
      <c r="AX8" s="52" t="s">
        <v>126</v>
      </c>
      <c r="AY8" s="52" t="s">
        <v>127</v>
      </c>
      <c r="AZ8" s="52" t="s">
        <v>143</v>
      </c>
      <c r="BA8" s="52" t="s">
        <v>151</v>
      </c>
      <c r="BB8" s="52" t="s">
        <v>162</v>
      </c>
      <c r="BC8" s="52" t="s">
        <v>240</v>
      </c>
      <c r="BD8" s="52" t="s">
        <v>171</v>
      </c>
      <c r="BE8" s="52" t="s">
        <v>178</v>
      </c>
      <c r="BF8" s="52" t="s">
        <v>179</v>
      </c>
      <c r="BG8" s="52" t="s">
        <v>235</v>
      </c>
      <c r="BH8" s="52" t="s">
        <v>236</v>
      </c>
      <c r="BI8" s="52" t="s">
        <v>243</v>
      </c>
      <c r="BJ8" s="52" t="s">
        <v>256</v>
      </c>
      <c r="BK8" s="52" t="s">
        <v>259</v>
      </c>
      <c r="BL8" s="52" t="s">
        <v>260</v>
      </c>
      <c r="BM8" s="52"/>
      <c r="BN8" s="52"/>
      <c r="BO8" s="52"/>
      <c r="BP8" s="52"/>
      <c r="BQ8" s="52"/>
      <c r="BR8" s="52"/>
      <c r="BS8" s="52"/>
      <c r="BT8" s="52"/>
      <c r="BU8" s="52"/>
      <c r="BV8" s="52" t="s">
        <v>310</v>
      </c>
      <c r="BW8" s="52" t="s">
        <v>311</v>
      </c>
      <c r="BX8" s="52" t="s">
        <v>316</v>
      </c>
      <c r="BY8" s="52" t="s">
        <v>318</v>
      </c>
      <c r="BZ8" s="52" t="s">
        <v>323</v>
      </c>
      <c r="CA8" s="52" t="s">
        <v>324</v>
      </c>
      <c r="CB8" s="52" t="s">
        <v>390</v>
      </c>
      <c r="CC8" s="52" t="s">
        <v>392</v>
      </c>
      <c r="CD8" s="52" t="s">
        <v>394</v>
      </c>
      <c r="CE8" s="52" t="s">
        <v>404</v>
      </c>
      <c r="CF8" s="52" t="s">
        <v>405</v>
      </c>
      <c r="CG8" s="52" t="s">
        <v>406</v>
      </c>
      <c r="CH8" s="52" t="s">
        <v>407</v>
      </c>
      <c r="CI8" s="52" t="s">
        <v>431</v>
      </c>
      <c r="CJ8" s="52" t="s">
        <v>433</v>
      </c>
      <c r="CK8" s="52" t="s">
        <v>253</v>
      </c>
      <c r="CL8" s="52" t="s">
        <v>350</v>
      </c>
      <c r="CM8" s="52" t="s">
        <v>353</v>
      </c>
      <c r="CN8" s="52"/>
      <c r="CO8" s="52"/>
      <c r="CP8" s="52"/>
      <c r="CQ8" s="52" t="s">
        <v>384</v>
      </c>
      <c r="CR8" s="52" t="s">
        <v>385</v>
      </c>
      <c r="CS8" s="52" t="s">
        <v>189</v>
      </c>
      <c r="CT8" s="52" t="s">
        <v>208</v>
      </c>
      <c r="CU8" s="52" t="s">
        <v>209</v>
      </c>
      <c r="CV8" s="52" t="s">
        <v>210</v>
      </c>
      <c r="CW8" s="52" t="s">
        <v>211</v>
      </c>
      <c r="CX8" s="52" t="s">
        <v>212</v>
      </c>
      <c r="CY8" s="52" t="s">
        <v>213</v>
      </c>
      <c r="CZ8" s="52" t="s">
        <v>214</v>
      </c>
      <c r="DA8" s="52" t="s">
        <v>215</v>
      </c>
      <c r="DB8" s="52" t="s">
        <v>216</v>
      </c>
      <c r="DC8" s="52" t="s">
        <v>220</v>
      </c>
      <c r="DD8" s="52" t="s">
        <v>221</v>
      </c>
      <c r="DE8" s="52" t="s">
        <v>450</v>
      </c>
      <c r="DF8" s="52" t="s">
        <v>45</v>
      </c>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88"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488" t="s">
        <v>755</v>
      </c>
      <c r="EM8" s="488" t="s">
        <v>756</v>
      </c>
      <c r="EN8" s="488" t="s">
        <v>757</v>
      </c>
      <c r="EO8" s="52" t="s">
        <v>813</v>
      </c>
      <c r="EP8" s="52" t="s">
        <v>818</v>
      </c>
      <c r="EQ8" s="52" t="s">
        <v>819</v>
      </c>
      <c r="ER8" s="488">
        <v>148</v>
      </c>
      <c r="ES8" s="488" t="s">
        <v>826</v>
      </c>
      <c r="ET8" s="1306" t="s">
        <v>898</v>
      </c>
      <c r="EU8" s="1306" t="s">
        <v>899</v>
      </c>
      <c r="EV8" s="1306" t="s">
        <v>907</v>
      </c>
      <c r="EW8" s="488" t="s">
        <v>916</v>
      </c>
      <c r="EX8" s="488" t="s">
        <v>940</v>
      </c>
      <c r="EY8" s="488" t="s">
        <v>953</v>
      </c>
    </row>
    <row r="9" spans="1:155" s="694" customFormat="1" ht="14.25" customHeight="1">
      <c r="A9" s="722" t="s">
        <v>48</v>
      </c>
      <c r="B9" s="676" t="s">
        <v>443</v>
      </c>
      <c r="C9" s="677" t="s">
        <v>3</v>
      </c>
      <c r="D9" s="678" t="s">
        <v>20</v>
      </c>
      <c r="E9" s="676" t="s">
        <v>21</v>
      </c>
      <c r="F9" s="676">
        <v>32</v>
      </c>
      <c r="G9" s="679"/>
      <c r="H9" s="723" t="s">
        <v>272</v>
      </c>
      <c r="I9" s="724" t="s">
        <v>944</v>
      </c>
      <c r="J9" s="681" t="s">
        <v>946</v>
      </c>
      <c r="K9" s="681" t="s">
        <v>948</v>
      </c>
      <c r="L9" s="681" t="s">
        <v>950</v>
      </c>
      <c r="M9" s="681" t="s">
        <v>952</v>
      </c>
      <c r="N9" s="681" t="s">
        <v>956</v>
      </c>
      <c r="O9" s="681" t="s">
        <v>357</v>
      </c>
      <c r="P9" s="681" t="s">
        <v>411</v>
      </c>
      <c r="Q9" s="681" t="s">
        <v>412</v>
      </c>
      <c r="R9" s="681" t="s">
        <v>413</v>
      </c>
      <c r="S9" s="681"/>
      <c r="T9" s="681"/>
      <c r="U9" s="681"/>
      <c r="V9" s="681"/>
      <c r="W9" s="681"/>
      <c r="X9" s="725"/>
      <c r="Y9" s="726" t="s">
        <v>227</v>
      </c>
      <c r="Z9" s="681" t="s">
        <v>414</v>
      </c>
      <c r="AA9" s="681" t="s">
        <v>173</v>
      </c>
      <c r="AB9" s="681" t="s">
        <v>174</v>
      </c>
      <c r="AC9" s="681"/>
      <c r="AD9" s="681"/>
      <c r="AE9" s="681"/>
      <c r="AF9" s="725"/>
      <c r="AG9" s="726"/>
      <c r="AH9" s="681"/>
      <c r="AI9" s="681"/>
      <c r="AJ9" s="727"/>
      <c r="AK9" s="724"/>
      <c r="AL9" s="681"/>
      <c r="AM9" s="681"/>
      <c r="AN9" s="725"/>
      <c r="AO9" s="728"/>
      <c r="AP9" s="728"/>
      <c r="AQ9" s="728"/>
      <c r="AR9" s="729"/>
      <c r="AS9" s="730" t="s">
        <v>962</v>
      </c>
      <c r="AT9" s="731"/>
      <c r="AU9" s="730" t="s">
        <v>883</v>
      </c>
      <c r="AV9" s="731"/>
      <c r="AW9" s="730" t="s">
        <v>886</v>
      </c>
      <c r="AX9" s="731"/>
      <c r="AY9" s="732">
        <f>IF(ISNUMBER(IF(Criterios!B13="SI",S9,S9+AG9)),IF(Criterios!B13="SI",S9,S9+AG9)," - ")</f>
        <v>0</v>
      </c>
      <c r="AZ9" s="733"/>
      <c r="BA9" s="733">
        <f>IF(ISNUMBER(IF(Criterios!B13="SI",U9,U9+AI9)),IF(Criterios!B13="SI",U9,U9+AI9)," - ")</f>
        <v>0</v>
      </c>
      <c r="BB9" s="733">
        <f>IF(ISNUMBER(IF(Criterios!B13="SI",V9,V9+AJ9)),IF(Criterios!B13="SI",V9,V9+AJ9)," - ")</f>
        <v>0</v>
      </c>
      <c r="BC9" s="688" t="str">
        <f>IF(ISNUMBER(X9),X9," - ")</f>
        <v xml:space="preserve"> - </v>
      </c>
      <c r="BD9" s="689" t="str">
        <f t="shared" ref="BD9:BD13" si="0">IF(ISNUMBER(BA9/AZ9),BA9/AZ9," - ")</f>
        <v xml:space="preserve"> - </v>
      </c>
      <c r="BE9" s="690" t="str">
        <f t="shared" ref="BE9:BE13" si="1">IF(ISNUMBER(BB9/BA9),BB9/BA9, " - ")</f>
        <v xml:space="preserve"> - </v>
      </c>
      <c r="BF9" s="690" t="str">
        <f t="shared" ref="BF9:BF13" si="2">IF(ISNUMBER(BC9/BA9),BC9/BA9, " - ")</f>
        <v xml:space="preserve"> - </v>
      </c>
      <c r="BG9" s="691" t="str">
        <f t="shared" ref="BG9:BG13" si="3">IF(ISNUMBER((AY9+AZ9)/BA9),(AY9+AZ9)/BA9," - ")</f>
        <v xml:space="preserve"> - </v>
      </c>
      <c r="BH9" s="728"/>
      <c r="BI9" s="728"/>
      <c r="BJ9" s="734"/>
      <c r="BK9" s="728"/>
      <c r="BL9" s="728"/>
      <c r="BM9" s="487">
        <v>720</v>
      </c>
      <c r="BN9" s="697"/>
      <c r="BO9" s="697"/>
      <c r="BP9" s="697"/>
      <c r="BQ9" s="697"/>
      <c r="BR9" s="697"/>
      <c r="BS9" s="697"/>
      <c r="BT9" s="697"/>
      <c r="BU9" s="697"/>
      <c r="BV9" s="487" t="s">
        <v>557</v>
      </c>
      <c r="BW9" s="487" t="s">
        <v>333</v>
      </c>
      <c r="BX9" s="487" t="s">
        <v>334</v>
      </c>
      <c r="BY9" s="487" t="s">
        <v>969</v>
      </c>
      <c r="BZ9" s="487" t="s">
        <v>539</v>
      </c>
      <c r="CA9" s="487" t="s">
        <v>454</v>
      </c>
      <c r="CB9" s="487" t="s">
        <v>455</v>
      </c>
      <c r="CC9" s="487" t="s">
        <v>456</v>
      </c>
      <c r="CD9" s="487" t="s">
        <v>457</v>
      </c>
      <c r="CE9" s="487"/>
      <c r="CF9" s="487"/>
      <c r="CG9" s="487"/>
      <c r="CH9" s="487"/>
      <c r="CI9" s="487" t="s">
        <v>566</v>
      </c>
      <c r="CJ9" s="487" t="s">
        <v>458</v>
      </c>
      <c r="CK9" s="487" t="s">
        <v>551</v>
      </c>
      <c r="CL9" s="487" t="s">
        <v>553</v>
      </c>
      <c r="CM9" s="487" t="s">
        <v>555</v>
      </c>
      <c r="CN9" s="487">
        <v>1088</v>
      </c>
      <c r="CO9" s="487">
        <v>720</v>
      </c>
      <c r="CP9" s="487">
        <v>1088</v>
      </c>
      <c r="CQ9" s="735" t="s">
        <v>930</v>
      </c>
      <c r="CR9" s="735" t="s">
        <v>540</v>
      </c>
      <c r="CS9" s="487"/>
      <c r="CT9" s="487"/>
      <c r="CU9" s="487"/>
      <c r="CV9" s="487" t="s">
        <v>562</v>
      </c>
      <c r="CW9" s="487" t="s">
        <v>453</v>
      </c>
      <c r="CX9" s="487" t="s">
        <v>382</v>
      </c>
      <c r="CY9" s="487" t="s">
        <v>487</v>
      </c>
      <c r="CZ9" s="487" t="s">
        <v>488</v>
      </c>
      <c r="DA9" s="487" t="s">
        <v>489</v>
      </c>
      <c r="DB9" s="730" t="s">
        <v>963</v>
      </c>
      <c r="DC9" s="730" t="s">
        <v>964</v>
      </c>
      <c r="DD9" s="487"/>
      <c r="DE9" s="487" t="s">
        <v>266</v>
      </c>
      <c r="DF9" s="487"/>
      <c r="DG9" s="487" t="s">
        <v>496</v>
      </c>
      <c r="DH9" s="487" t="s">
        <v>559</v>
      </c>
      <c r="DI9" s="487" t="s">
        <v>560</v>
      </c>
      <c r="DJ9" s="487" t="s">
        <v>561</v>
      </c>
      <c r="DK9" s="487"/>
      <c r="DL9" s="487"/>
      <c r="DM9" s="487"/>
      <c r="DN9" s="487"/>
      <c r="DO9" s="487"/>
      <c r="DP9" s="487"/>
      <c r="DQ9" s="487"/>
      <c r="DR9" s="487"/>
      <c r="DS9" s="487"/>
      <c r="DT9" s="487"/>
      <c r="DU9" s="487" t="s">
        <v>744</v>
      </c>
      <c r="DV9" s="487" t="s">
        <v>739</v>
      </c>
      <c r="DW9" s="487" t="s">
        <v>740</v>
      </c>
      <c r="DX9" s="487" t="s">
        <v>741</v>
      </c>
      <c r="DY9" s="487" t="s">
        <v>742</v>
      </c>
      <c r="DZ9" s="487"/>
      <c r="EA9" s="487"/>
      <c r="EB9" s="487"/>
      <c r="EC9" s="487"/>
      <c r="ED9" s="487"/>
      <c r="EE9" s="487"/>
      <c r="EF9" s="487"/>
      <c r="EG9" s="487"/>
      <c r="EH9" s="487"/>
      <c r="EI9" s="487"/>
      <c r="EJ9" s="487"/>
      <c r="EK9" s="487"/>
      <c r="EL9" s="735" t="s">
        <v>868</v>
      </c>
      <c r="EM9" s="735" t="s">
        <v>869</v>
      </c>
      <c r="EN9" s="487" t="s">
        <v>867</v>
      </c>
      <c r="EO9" s="1137" t="s">
        <v>965</v>
      </c>
      <c r="EP9" s="1137" t="s">
        <v>936</v>
      </c>
      <c r="EQ9" s="1137" t="s">
        <v>937</v>
      </c>
      <c r="ER9" s="1150">
        <v>1200</v>
      </c>
      <c r="ES9" s="1146"/>
      <c r="ET9" s="1307"/>
      <c r="EU9" s="1307"/>
      <c r="EV9" s="487" t="s">
        <v>910</v>
      </c>
      <c r="EW9" s="487"/>
      <c r="EX9" s="487"/>
      <c r="EY9" s="487"/>
    </row>
    <row r="10" spans="1:155" ht="14.25" customHeight="1">
      <c r="A10" s="139" t="s">
        <v>156</v>
      </c>
      <c r="B10" s="21" t="s">
        <v>443</v>
      </c>
      <c r="C10" s="22" t="s">
        <v>3</v>
      </c>
      <c r="D10" s="23" t="s">
        <v>85</v>
      </c>
      <c r="E10" s="21" t="s">
        <v>85</v>
      </c>
      <c r="F10" s="21" t="s">
        <v>151</v>
      </c>
      <c r="G10" s="6"/>
      <c r="H10" s="138"/>
      <c r="I10" s="185" t="s">
        <v>581</v>
      </c>
      <c r="J10" s="186" t="s">
        <v>579</v>
      </c>
      <c r="K10" s="186" t="s">
        <v>580</v>
      </c>
      <c r="L10" s="186" t="s">
        <v>585</v>
      </c>
      <c r="M10" s="59" t="s">
        <v>573</v>
      </c>
      <c r="N10" s="59" t="s">
        <v>152</v>
      </c>
      <c r="O10" s="59" t="s">
        <v>250</v>
      </c>
      <c r="P10" s="59" t="s">
        <v>153</v>
      </c>
      <c r="Q10" s="59" t="s">
        <v>154</v>
      </c>
      <c r="R10" s="59" t="s">
        <v>155</v>
      </c>
      <c r="S10" s="59"/>
      <c r="T10" s="59"/>
      <c r="U10" s="59"/>
      <c r="V10" s="59"/>
      <c r="W10" s="59"/>
      <c r="X10" s="63"/>
      <c r="Y10" s="140"/>
      <c r="Z10" s="141"/>
      <c r="AA10" s="142"/>
      <c r="AB10" s="141"/>
      <c r="AC10" s="59"/>
      <c r="AD10" s="59"/>
      <c r="AE10" s="59"/>
      <c r="AF10" s="63"/>
      <c r="AG10" s="64"/>
      <c r="AH10" s="59"/>
      <c r="AI10" s="59"/>
      <c r="AJ10" s="65"/>
      <c r="AK10" s="60"/>
      <c r="AL10" s="59"/>
      <c r="AM10" s="59"/>
      <c r="AN10" s="63"/>
      <c r="AO10" s="66"/>
      <c r="AP10" s="61"/>
      <c r="AQ10" s="66"/>
      <c r="AR10" s="61"/>
      <c r="AS10" s="153" t="s">
        <v>830</v>
      </c>
      <c r="AT10" s="65"/>
      <c r="AU10" s="153" t="s">
        <v>831</v>
      </c>
      <c r="AV10" s="65"/>
      <c r="AW10" s="153" t="s">
        <v>832</v>
      </c>
      <c r="AX10" s="65"/>
      <c r="AY10" s="130" t="str">
        <f t="shared" ref="AY10:BC10" si="4">IF(ISNUMBER(S10),S10," - ")</f>
        <v xml:space="preserve"> - </v>
      </c>
      <c r="AZ10" s="131" t="str">
        <f t="shared" si="4"/>
        <v xml:space="preserve"> - </v>
      </c>
      <c r="BA10" s="131" t="str">
        <f t="shared" si="4"/>
        <v xml:space="preserve"> - </v>
      </c>
      <c r="BB10" s="131" t="str">
        <f t="shared" si="4"/>
        <v xml:space="preserve"> - </v>
      </c>
      <c r="BC10" s="127" t="str">
        <f t="shared" si="4"/>
        <v xml:space="preserve"> - </v>
      </c>
      <c r="BD10" s="102" t="str">
        <f t="shared" si="0"/>
        <v xml:space="preserve"> - </v>
      </c>
      <c r="BE10" s="103" t="str">
        <f t="shared" si="1"/>
        <v xml:space="preserve"> - </v>
      </c>
      <c r="BF10" s="103" t="str">
        <f t="shared" si="2"/>
        <v xml:space="preserve"> - </v>
      </c>
      <c r="BG10" s="104" t="str">
        <f t="shared" si="3"/>
        <v xml:space="preserve"> - </v>
      </c>
      <c r="BH10" s="61"/>
      <c r="BI10" s="61"/>
      <c r="BJ10" s="154"/>
      <c r="BK10" s="66"/>
      <c r="BL10" s="66"/>
      <c r="BM10" s="159">
        <v>0</v>
      </c>
      <c r="BN10" s="159"/>
      <c r="BO10" s="159"/>
      <c r="BP10" s="159"/>
      <c r="BQ10" s="159"/>
      <c r="BR10" s="159"/>
      <c r="BS10" s="159"/>
      <c r="BT10" s="159"/>
      <c r="BU10" s="159"/>
      <c r="BV10" s="159" t="s">
        <v>340</v>
      </c>
      <c r="BW10" s="159" t="s">
        <v>387</v>
      </c>
      <c r="BX10" s="159" t="s">
        <v>388</v>
      </c>
      <c r="BY10" s="159" t="s">
        <v>833</v>
      </c>
      <c r="BZ10" s="159"/>
      <c r="CA10" s="159"/>
      <c r="CB10" s="159"/>
      <c r="CC10" s="159"/>
      <c r="CD10" s="159"/>
      <c r="CE10" s="159"/>
      <c r="CF10" s="159"/>
      <c r="CG10" s="159"/>
      <c r="CH10" s="159"/>
      <c r="CI10" s="159" t="s">
        <v>568</v>
      </c>
      <c r="CJ10" s="159" t="s">
        <v>330</v>
      </c>
      <c r="CK10" s="159" t="s">
        <v>511</v>
      </c>
      <c r="CL10" s="159" t="s">
        <v>512</v>
      </c>
      <c r="CM10" s="159" t="s">
        <v>513</v>
      </c>
      <c r="CN10" s="159">
        <v>1175</v>
      </c>
      <c r="CO10" s="159">
        <v>0</v>
      </c>
      <c r="CP10" s="294" t="s">
        <v>460</v>
      </c>
      <c r="CQ10" s="159" t="s">
        <v>834</v>
      </c>
      <c r="CR10" s="159"/>
      <c r="CS10" s="159"/>
      <c r="CT10" s="161"/>
      <c r="CU10" s="161"/>
      <c r="CV10" s="161" t="s">
        <v>347</v>
      </c>
      <c r="CW10" s="161" t="s">
        <v>377</v>
      </c>
      <c r="CX10" s="161" t="s">
        <v>380</v>
      </c>
      <c r="CY10" s="161" t="s">
        <v>569</v>
      </c>
      <c r="CZ10" s="161" t="s">
        <v>570</v>
      </c>
      <c r="DA10" s="161" t="s">
        <v>571</v>
      </c>
      <c r="DB10" s="327" t="s">
        <v>582</v>
      </c>
      <c r="DC10" s="326"/>
      <c r="DD10" s="161"/>
      <c r="DE10" s="161" t="s">
        <v>267</v>
      </c>
      <c r="DF10" s="161"/>
      <c r="DG10" s="161" t="s">
        <v>572</v>
      </c>
      <c r="DH10" s="159" t="s">
        <v>474</v>
      </c>
      <c r="DI10" s="159" t="s">
        <v>472</v>
      </c>
      <c r="DJ10" s="159" t="s">
        <v>473</v>
      </c>
      <c r="DK10" s="159"/>
      <c r="DL10" s="159"/>
      <c r="DM10" s="294"/>
      <c r="DN10" s="294"/>
      <c r="DO10" s="294"/>
      <c r="DP10" s="294"/>
      <c r="DQ10" s="294"/>
      <c r="DR10" s="294"/>
      <c r="DS10" s="294"/>
      <c r="DT10" s="294"/>
      <c r="DU10" s="160" t="s">
        <v>671</v>
      </c>
      <c r="DV10" s="294" t="s">
        <v>791</v>
      </c>
      <c r="DW10" s="294" t="s">
        <v>788</v>
      </c>
      <c r="DX10" s="294" t="s">
        <v>789</v>
      </c>
      <c r="DY10" s="294" t="s">
        <v>790</v>
      </c>
      <c r="DZ10" s="294"/>
      <c r="EA10" s="294"/>
      <c r="EB10" s="294"/>
      <c r="EC10" s="294"/>
      <c r="ED10" s="294"/>
      <c r="EE10" s="294"/>
      <c r="EF10" s="294"/>
      <c r="EG10" s="294"/>
      <c r="EH10" s="294"/>
      <c r="EI10" s="294"/>
      <c r="EJ10" s="294"/>
      <c r="EK10" s="294"/>
      <c r="EL10" s="294"/>
      <c r="EM10" s="294"/>
      <c r="EN10" s="294"/>
      <c r="EO10" s="327" t="s">
        <v>839</v>
      </c>
      <c r="EP10" s="327" t="s">
        <v>840</v>
      </c>
      <c r="EQ10" s="327" t="s">
        <v>841</v>
      </c>
      <c r="ER10" s="1151">
        <v>1600</v>
      </c>
      <c r="ES10" s="349"/>
      <c r="ET10" s="1307"/>
      <c r="EU10" s="1307"/>
      <c r="EV10" s="487" t="s">
        <v>912</v>
      </c>
      <c r="EW10" s="294"/>
      <c r="EX10" s="294"/>
      <c r="EY10" s="294"/>
    </row>
    <row r="11" spans="1:155" s="694" customFormat="1" ht="14.25" customHeight="1" thickBot="1">
      <c r="A11" s="722" t="s">
        <v>444</v>
      </c>
      <c r="B11" s="676" t="s">
        <v>443</v>
      </c>
      <c r="C11" s="677" t="s">
        <v>3</v>
      </c>
      <c r="D11" s="678" t="s">
        <v>20</v>
      </c>
      <c r="E11" s="676" t="s">
        <v>54</v>
      </c>
      <c r="F11" s="676">
        <v>32</v>
      </c>
      <c r="G11" s="679"/>
      <c r="H11" s="695" t="s">
        <v>37</v>
      </c>
      <c r="I11" s="323" t="s">
        <v>879</v>
      </c>
      <c r="J11" s="322" t="s">
        <v>876</v>
      </c>
      <c r="K11" s="322" t="s">
        <v>929</v>
      </c>
      <c r="L11" s="322" t="s">
        <v>887</v>
      </c>
      <c r="M11" s="322" t="s">
        <v>548</v>
      </c>
      <c r="N11" s="322" t="s">
        <v>39</v>
      </c>
      <c r="O11" s="681" t="s">
        <v>247</v>
      </c>
      <c r="P11" s="322" t="s">
        <v>40</v>
      </c>
      <c r="Q11" s="322" t="s">
        <v>41</v>
      </c>
      <c r="R11" s="322" t="s">
        <v>94</v>
      </c>
      <c r="S11" s="322"/>
      <c r="T11" s="322"/>
      <c r="U11" s="322"/>
      <c r="V11" s="322"/>
      <c r="W11" s="322"/>
      <c r="X11" s="682"/>
      <c r="Y11" s="726" t="s">
        <v>227</v>
      </c>
      <c r="Z11" s="681" t="s">
        <v>414</v>
      </c>
      <c r="AA11" s="681" t="s">
        <v>173</v>
      </c>
      <c r="AB11" s="681" t="s">
        <v>174</v>
      </c>
      <c r="AC11" s="322"/>
      <c r="AD11" s="322"/>
      <c r="AE11" s="322"/>
      <c r="AF11" s="682"/>
      <c r="AG11" s="683"/>
      <c r="AH11" s="322"/>
      <c r="AI11" s="322"/>
      <c r="AJ11" s="684"/>
      <c r="AK11" s="323"/>
      <c r="AL11" s="322"/>
      <c r="AM11" s="322"/>
      <c r="AN11" s="682"/>
      <c r="AO11" s="685"/>
      <c r="AP11" s="685"/>
      <c r="AQ11" s="685"/>
      <c r="AR11" s="728"/>
      <c r="AS11" s="683" t="s">
        <v>877</v>
      </c>
      <c r="AT11" s="684"/>
      <c r="AU11" s="683" t="s">
        <v>884</v>
      </c>
      <c r="AV11" s="684"/>
      <c r="AW11" s="683" t="s">
        <v>888</v>
      </c>
      <c r="AX11" s="684"/>
      <c r="AY11" s="736">
        <f>IF(ISNUMBER(IF(Criterios!B13="SI",S11,S11+AG11)),IF(Criterios!B13="SI",S11,S11+AG11)," - ")</f>
        <v>0</v>
      </c>
      <c r="AZ11" s="737">
        <f>IF(ISNUMBER(IF(Criterios!B13="SI",T11,T11+AH11)),IF(Criterios!B13="SI",T11,T11+AH11)," - ")</f>
        <v>0</v>
      </c>
      <c r="BA11" s="737">
        <f>IF(ISNUMBER(IF(Criterios!B13="SI",U11,U11+AI11)),IF(Criterios!B13="SI",U11,U11+AI11)," - ")</f>
        <v>0</v>
      </c>
      <c r="BB11" s="737">
        <f>IF(ISNUMBER(IF(Criterios!B13="SI",V11,V11+AJ11)),IF(Criterios!B13="SI",V11,V11+AJ11)," - ")</f>
        <v>0</v>
      </c>
      <c r="BC11" s="688" t="str">
        <f>IF(ISNUMBER(X11),X11," - ")</f>
        <v xml:space="preserve"> - </v>
      </c>
      <c r="BD11" s="689" t="str">
        <f t="shared" si="0"/>
        <v xml:space="preserve"> - </v>
      </c>
      <c r="BE11" s="690" t="str">
        <f t="shared" si="1"/>
        <v xml:space="preserve"> - </v>
      </c>
      <c r="BF11" s="690" t="str">
        <f t="shared" si="2"/>
        <v xml:space="preserve"> - </v>
      </c>
      <c r="BG11" s="691" t="str">
        <f t="shared" si="3"/>
        <v xml:space="preserve"> - </v>
      </c>
      <c r="BH11" s="685"/>
      <c r="BI11" s="685"/>
      <c r="BJ11" s="683"/>
      <c r="BK11" s="685"/>
      <c r="BL11" s="685"/>
      <c r="BM11" s="696">
        <v>1000</v>
      </c>
      <c r="BN11" s="697"/>
      <c r="BO11" s="697"/>
      <c r="BP11" s="697"/>
      <c r="BQ11" s="697"/>
      <c r="BR11" s="697"/>
      <c r="BS11" s="697"/>
      <c r="BT11" s="697"/>
      <c r="BU11" s="697"/>
      <c r="BV11" s="487" t="s">
        <v>556</v>
      </c>
      <c r="BW11" s="487" t="s">
        <v>281</v>
      </c>
      <c r="BX11" s="487" t="s">
        <v>282</v>
      </c>
      <c r="BY11" s="696" t="s">
        <v>971</v>
      </c>
      <c r="BZ11" s="487" t="s">
        <v>810</v>
      </c>
      <c r="CA11" s="487" t="s">
        <v>317</v>
      </c>
      <c r="CB11" s="487" t="s">
        <v>312</v>
      </c>
      <c r="CC11" s="487" t="s">
        <v>313</v>
      </c>
      <c r="CD11" s="487" t="s">
        <v>314</v>
      </c>
      <c r="CE11" s="696"/>
      <c r="CF11" s="696"/>
      <c r="CG11" s="696"/>
      <c r="CH11" s="696"/>
      <c r="CI11" s="696" t="s">
        <v>541</v>
      </c>
      <c r="CJ11" s="696" t="s">
        <v>325</v>
      </c>
      <c r="CK11" s="487" t="s">
        <v>550</v>
      </c>
      <c r="CL11" s="487" t="s">
        <v>552</v>
      </c>
      <c r="CM11" s="487" t="s">
        <v>554</v>
      </c>
      <c r="CN11" s="487">
        <v>1088</v>
      </c>
      <c r="CO11" s="696">
        <v>1000</v>
      </c>
      <c r="CP11" s="487">
        <v>1088</v>
      </c>
      <c r="CQ11" s="487" t="s">
        <v>933</v>
      </c>
      <c r="CR11" s="487" t="s">
        <v>932</v>
      </c>
      <c r="CS11" s="696"/>
      <c r="CT11" s="487"/>
      <c r="CU11" s="487"/>
      <c r="CV11" s="487" t="s">
        <v>562</v>
      </c>
      <c r="CW11" s="487" t="s">
        <v>373</v>
      </c>
      <c r="CX11" s="487" t="s">
        <v>382</v>
      </c>
      <c r="CY11" s="487" t="s">
        <v>487</v>
      </c>
      <c r="CZ11" s="487" t="s">
        <v>488</v>
      </c>
      <c r="DA11" s="487" t="s">
        <v>489</v>
      </c>
      <c r="DB11" s="335" t="s">
        <v>957</v>
      </c>
      <c r="DC11" s="335" t="s">
        <v>958</v>
      </c>
      <c r="DD11" s="487"/>
      <c r="DE11" s="487" t="s">
        <v>268</v>
      </c>
      <c r="DF11" s="487"/>
      <c r="DG11" s="487" t="s">
        <v>496</v>
      </c>
      <c r="DH11" s="487" t="s">
        <v>559</v>
      </c>
      <c r="DI11" s="487" t="s">
        <v>560</v>
      </c>
      <c r="DJ11" s="487" t="s">
        <v>561</v>
      </c>
      <c r="DK11" s="487"/>
      <c r="DL11" s="487"/>
      <c r="DM11" s="735"/>
      <c r="DN11" s="735"/>
      <c r="DO11" s="735"/>
      <c r="DP11" s="735"/>
      <c r="DQ11" s="735"/>
      <c r="DR11" s="735"/>
      <c r="DS11" s="735"/>
      <c r="DT11" s="735"/>
      <c r="DU11" s="735" t="s">
        <v>744</v>
      </c>
      <c r="DV11" s="735" t="s">
        <v>739</v>
      </c>
      <c r="DW11" s="735" t="s">
        <v>740</v>
      </c>
      <c r="DX11" s="735" t="s">
        <v>741</v>
      </c>
      <c r="DY11" s="735" t="s">
        <v>742</v>
      </c>
      <c r="DZ11" s="735"/>
      <c r="EA11" s="735"/>
      <c r="EB11" s="735"/>
      <c r="EC11" s="735"/>
      <c r="ED11" s="735"/>
      <c r="EE11" s="735"/>
      <c r="EF11" s="735"/>
      <c r="EG11" s="735"/>
      <c r="EH11" s="735"/>
      <c r="EI11" s="735"/>
      <c r="EJ11" s="735"/>
      <c r="EK11" s="735"/>
      <c r="EL11" s="735"/>
      <c r="EM11" s="735"/>
      <c r="EN11" s="735"/>
      <c r="EO11" s="1170" t="s">
        <v>966</v>
      </c>
      <c r="EP11" s="1170" t="s">
        <v>934</v>
      </c>
      <c r="EQ11" s="1170" t="s">
        <v>935</v>
      </c>
      <c r="ER11" s="1152">
        <v>1323</v>
      </c>
      <c r="ES11" s="1147"/>
      <c r="ET11" s="1307"/>
      <c r="EU11" s="1307"/>
      <c r="EV11" s="487" t="s">
        <v>909</v>
      </c>
      <c r="EW11" s="735"/>
      <c r="EX11" s="735"/>
      <c r="EY11" s="735"/>
    </row>
    <row r="12" spans="1:155" s="694" customFormat="1" ht="14.25" customHeight="1">
      <c r="A12" s="722" t="s">
        <v>445</v>
      </c>
      <c r="B12" s="676" t="s">
        <v>443</v>
      </c>
      <c r="C12" s="677" t="s">
        <v>3</v>
      </c>
      <c r="D12" s="678" t="s">
        <v>20</v>
      </c>
      <c r="E12" s="676" t="s">
        <v>20</v>
      </c>
      <c r="F12" s="676">
        <v>31</v>
      </c>
      <c r="G12" s="679"/>
      <c r="H12" s="738"/>
      <c r="I12" s="323" t="s">
        <v>945</v>
      </c>
      <c r="J12" s="322" t="s">
        <v>947</v>
      </c>
      <c r="K12" s="322" t="s">
        <v>949</v>
      </c>
      <c r="L12" s="322" t="s">
        <v>951</v>
      </c>
      <c r="M12" s="322" t="s">
        <v>943</v>
      </c>
      <c r="N12" s="322" t="s">
        <v>39</v>
      </c>
      <c r="O12" s="681" t="s">
        <v>247</v>
      </c>
      <c r="P12" s="322" t="s">
        <v>422</v>
      </c>
      <c r="Q12" s="322" t="s">
        <v>423</v>
      </c>
      <c r="R12" s="322" t="s">
        <v>424</v>
      </c>
      <c r="S12" s="322"/>
      <c r="T12" s="322"/>
      <c r="U12" s="322"/>
      <c r="V12" s="322"/>
      <c r="W12" s="322"/>
      <c r="X12" s="682"/>
      <c r="Y12" s="726" t="s">
        <v>227</v>
      </c>
      <c r="Z12" s="681" t="s">
        <v>414</v>
      </c>
      <c r="AA12" s="681" t="s">
        <v>173</v>
      </c>
      <c r="AB12" s="681" t="s">
        <v>174</v>
      </c>
      <c r="AC12" s="322"/>
      <c r="AD12" s="322"/>
      <c r="AE12" s="322"/>
      <c r="AF12" s="682"/>
      <c r="AG12" s="683"/>
      <c r="AH12" s="322"/>
      <c r="AI12" s="322"/>
      <c r="AJ12" s="684"/>
      <c r="AK12" s="323"/>
      <c r="AL12" s="322"/>
      <c r="AM12" s="322"/>
      <c r="AN12" s="682"/>
      <c r="AO12" s="685"/>
      <c r="AP12" s="685"/>
      <c r="AQ12" s="685"/>
      <c r="AR12" s="728"/>
      <c r="AS12" s="683" t="s">
        <v>959</v>
      </c>
      <c r="AT12" s="684"/>
      <c r="AU12" s="683" t="s">
        <v>881</v>
      </c>
      <c r="AV12" s="684"/>
      <c r="AW12" s="683" t="s">
        <v>889</v>
      </c>
      <c r="AX12" s="684"/>
      <c r="AY12" s="736">
        <f>IF(ISNUMBER(IF(Criterios!B13="SI",S12,S12+AG12)),IF(Criterios!B13="SI",S12,S12+AG12)," - ")</f>
        <v>0</v>
      </c>
      <c r="AZ12" s="737">
        <f>IF(ISNUMBER(IF(Criterios!B13="SI",T12,T12+AH12)),IF(Criterios!B13="SI",T12,T12+AH12)," - ")</f>
        <v>0</v>
      </c>
      <c r="BA12" s="737">
        <f>IF(ISNUMBER(IF(Criterios!B13="SI",U12,U12+AI12)),IF(Criterios!B13="SI",U12,U12+AI12)," - ")</f>
        <v>0</v>
      </c>
      <c r="BB12" s="737">
        <f>IF(ISNUMBER(IF(Criterios!B13="SI",V12,V12+AJ12)),IF(Criterios!B13="SI",V12,V12+AJ12)," - ")</f>
        <v>0</v>
      </c>
      <c r="BC12" s="688" t="str">
        <f>IF(ISNUMBER(X12),X12," - ")</f>
        <v xml:space="preserve"> - </v>
      </c>
      <c r="BD12" s="689" t="str">
        <f t="shared" si="0"/>
        <v xml:space="preserve"> - </v>
      </c>
      <c r="BE12" s="690" t="str">
        <f t="shared" si="1"/>
        <v xml:space="preserve"> - </v>
      </c>
      <c r="BF12" s="690" t="str">
        <f t="shared" si="2"/>
        <v xml:space="preserve"> - </v>
      </c>
      <c r="BG12" s="691" t="str">
        <f t="shared" si="3"/>
        <v xml:space="preserve"> - </v>
      </c>
      <c r="BH12" s="685"/>
      <c r="BI12" s="685"/>
      <c r="BJ12" s="683"/>
      <c r="BK12" s="685"/>
      <c r="BL12" s="685"/>
      <c r="BM12" s="696">
        <v>380</v>
      </c>
      <c r="BN12" s="697"/>
      <c r="BO12" s="697"/>
      <c r="BP12" s="697"/>
      <c r="BQ12" s="697"/>
      <c r="BR12" s="697"/>
      <c r="BS12" s="697"/>
      <c r="BT12" s="697"/>
      <c r="BU12" s="697"/>
      <c r="BV12" s="487" t="s">
        <v>558</v>
      </c>
      <c r="BW12" s="487" t="s">
        <v>425</v>
      </c>
      <c r="BX12" s="487" t="s">
        <v>426</v>
      </c>
      <c r="BY12" s="696" t="s">
        <v>970</v>
      </c>
      <c r="BZ12" s="487"/>
      <c r="CA12" s="487" t="s">
        <v>317</v>
      </c>
      <c r="CB12" s="487" t="s">
        <v>312</v>
      </c>
      <c r="CC12" s="487" t="s">
        <v>313</v>
      </c>
      <c r="CD12" s="487" t="s">
        <v>314</v>
      </c>
      <c r="CE12" s="696"/>
      <c r="CF12" s="696"/>
      <c r="CG12" s="696"/>
      <c r="CH12" s="696"/>
      <c r="CI12" s="696" t="s">
        <v>541</v>
      </c>
      <c r="CJ12" s="696" t="s">
        <v>325</v>
      </c>
      <c r="CK12" s="487" t="s">
        <v>551</v>
      </c>
      <c r="CL12" s="487" t="s">
        <v>553</v>
      </c>
      <c r="CM12" s="487" t="s">
        <v>555</v>
      </c>
      <c r="CN12" s="735" t="s">
        <v>369</v>
      </c>
      <c r="CO12" s="696">
        <v>2880</v>
      </c>
      <c r="CP12" s="735" t="s">
        <v>337</v>
      </c>
      <c r="CQ12" s="735" t="s">
        <v>931</v>
      </c>
      <c r="CR12" s="735"/>
      <c r="CS12" s="696"/>
      <c r="CT12" s="487"/>
      <c r="CU12" s="487"/>
      <c r="CV12" s="487" t="s">
        <v>562</v>
      </c>
      <c r="CW12" s="487" t="s">
        <v>373</v>
      </c>
      <c r="CX12" s="487" t="s">
        <v>382</v>
      </c>
      <c r="CY12" s="487" t="s">
        <v>487</v>
      </c>
      <c r="CZ12" s="487" t="s">
        <v>488</v>
      </c>
      <c r="DA12" s="487" t="s">
        <v>489</v>
      </c>
      <c r="DB12" s="730" t="s">
        <v>960</v>
      </c>
      <c r="DC12" s="730" t="s">
        <v>961</v>
      </c>
      <c r="DD12" s="487"/>
      <c r="DE12" s="487" t="s">
        <v>269</v>
      </c>
      <c r="DF12" s="487"/>
      <c r="DG12" s="487" t="s">
        <v>496</v>
      </c>
      <c r="DH12" s="487" t="s">
        <v>559</v>
      </c>
      <c r="DI12" s="487" t="s">
        <v>560</v>
      </c>
      <c r="DJ12" s="487" t="s">
        <v>561</v>
      </c>
      <c r="DK12" s="487"/>
      <c r="DL12" s="487"/>
      <c r="DM12" s="735"/>
      <c r="DN12" s="735"/>
      <c r="DO12" s="735"/>
      <c r="DP12" s="735"/>
      <c r="DQ12" s="735"/>
      <c r="DR12" s="735"/>
      <c r="DS12" s="735"/>
      <c r="DT12" s="735"/>
      <c r="DU12" s="735" t="s">
        <v>744</v>
      </c>
      <c r="DV12" s="735" t="s">
        <v>739</v>
      </c>
      <c r="DW12" s="735" t="s">
        <v>740</v>
      </c>
      <c r="DX12" s="735" t="s">
        <v>741</v>
      </c>
      <c r="DY12" s="735" t="s">
        <v>742</v>
      </c>
      <c r="DZ12" s="735"/>
      <c r="EA12" s="735"/>
      <c r="EB12" s="735"/>
      <c r="EC12" s="735"/>
      <c r="ED12" s="735"/>
      <c r="EE12" s="735"/>
      <c r="EF12" s="735"/>
      <c r="EG12" s="735"/>
      <c r="EH12" s="735"/>
      <c r="EI12" s="735"/>
      <c r="EJ12" s="735"/>
      <c r="EK12" s="735"/>
      <c r="EL12" s="735" t="s">
        <v>868</v>
      </c>
      <c r="EM12" s="735" t="s">
        <v>869</v>
      </c>
      <c r="EN12" s="487" t="s">
        <v>867</v>
      </c>
      <c r="EO12" s="1137" t="s">
        <v>968</v>
      </c>
      <c r="EP12" s="1137" t="s">
        <v>938</v>
      </c>
      <c r="EQ12" s="1137" t="s">
        <v>939</v>
      </c>
      <c r="ER12" s="1150">
        <v>680</v>
      </c>
      <c r="ES12" s="1148"/>
      <c r="ET12" s="1307"/>
      <c r="EU12" s="1307"/>
      <c r="EV12" s="487" t="s">
        <v>909</v>
      </c>
      <c r="EW12" s="735"/>
      <c r="EX12" s="735"/>
      <c r="EY12" s="735"/>
    </row>
    <row r="13" spans="1:155" ht="14.25" customHeight="1">
      <c r="A13" s="20" t="s">
        <v>111</v>
      </c>
      <c r="B13" s="21" t="s">
        <v>443</v>
      </c>
      <c r="C13" s="22" t="s">
        <v>3</v>
      </c>
      <c r="D13" s="23" t="s">
        <v>23</v>
      </c>
      <c r="E13" s="21" t="s">
        <v>23</v>
      </c>
      <c r="F13" s="21" t="s">
        <v>75</v>
      </c>
      <c r="G13" s="6"/>
      <c r="H13" s="29"/>
      <c r="I13" s="25" t="s">
        <v>107</v>
      </c>
      <c r="J13" s="26" t="s">
        <v>108</v>
      </c>
      <c r="K13" s="26" t="s">
        <v>109</v>
      </c>
      <c r="L13" s="26" t="s">
        <v>110</v>
      </c>
      <c r="M13" s="26" t="s">
        <v>106</v>
      </c>
      <c r="N13" s="26" t="s">
        <v>565</v>
      </c>
      <c r="O13" s="26" t="s">
        <v>255</v>
      </c>
      <c r="P13" s="26" t="s">
        <v>164</v>
      </c>
      <c r="Q13" s="26" t="s">
        <v>166</v>
      </c>
      <c r="R13" s="26" t="s">
        <v>165</v>
      </c>
      <c r="S13" s="26"/>
      <c r="T13" s="26"/>
      <c r="U13" s="26"/>
      <c r="V13" s="26"/>
      <c r="W13" s="26"/>
      <c r="X13" s="54"/>
      <c r="Y13" s="51"/>
      <c r="Z13" s="26"/>
      <c r="AA13" s="26"/>
      <c r="AB13" s="26"/>
      <c r="AC13" s="26"/>
      <c r="AD13" s="26"/>
      <c r="AE13" s="26"/>
      <c r="AF13" s="54"/>
      <c r="AG13" s="51"/>
      <c r="AH13" s="26"/>
      <c r="AI13" s="26"/>
      <c r="AJ13" s="27"/>
      <c r="AK13" s="25"/>
      <c r="AL13" s="26"/>
      <c r="AM13" s="26"/>
      <c r="AN13" s="54"/>
      <c r="AO13" s="61"/>
      <c r="AP13" s="61"/>
      <c r="AQ13" s="61"/>
      <c r="AR13" s="61"/>
      <c r="AS13" s="152" t="str">
        <f>IF( Año&lt;2006,"TCIVI251","")</f>
        <v/>
      </c>
      <c r="AT13" s="27"/>
      <c r="AU13" s="152" t="str">
        <f>IF( Año&lt;2006,"TCIVI351","")</f>
        <v/>
      </c>
      <c r="AV13" s="27"/>
      <c r="AW13" s="152" t="str">
        <f>IF( Año&lt;2006,"TCIVI451","")</f>
        <v/>
      </c>
      <c r="AX13" s="27"/>
      <c r="AY13" s="130" t="str">
        <f t="shared" ref="AY13:BC13" si="5">IF(ISNUMBER(S13),S13," - ")</f>
        <v xml:space="preserve"> - </v>
      </c>
      <c r="AZ13" s="131" t="str">
        <f t="shared" si="5"/>
        <v xml:space="preserve"> - </v>
      </c>
      <c r="BA13" s="131" t="str">
        <f t="shared" si="5"/>
        <v xml:space="preserve"> - </v>
      </c>
      <c r="BB13" s="131" t="str">
        <f t="shared" si="5"/>
        <v xml:space="preserve"> - </v>
      </c>
      <c r="BC13" s="127" t="str">
        <f t="shared" si="5"/>
        <v xml:space="preserve"> - </v>
      </c>
      <c r="BD13" s="102" t="str">
        <f t="shared" si="0"/>
        <v xml:space="preserve"> - </v>
      </c>
      <c r="BE13" s="103" t="str">
        <f t="shared" si="1"/>
        <v xml:space="preserve"> - </v>
      </c>
      <c r="BF13" s="103" t="str">
        <f t="shared" si="2"/>
        <v xml:space="preserve"> - </v>
      </c>
      <c r="BG13" s="104" t="str">
        <f t="shared" si="3"/>
        <v xml:space="preserve"> - </v>
      </c>
      <c r="BH13" s="61"/>
      <c r="BI13" s="61"/>
      <c r="BJ13" s="152"/>
      <c r="BK13" s="61"/>
      <c r="BL13" s="61"/>
      <c r="BM13" s="162">
        <v>0</v>
      </c>
      <c r="BN13" s="162"/>
      <c r="BO13" s="162"/>
      <c r="BP13" s="159"/>
      <c r="BQ13" s="159"/>
      <c r="BR13" s="159"/>
      <c r="BS13" s="159"/>
      <c r="BT13" s="162"/>
      <c r="BU13" s="162"/>
      <c r="BV13" s="162" t="s">
        <v>342</v>
      </c>
      <c r="BW13" s="162"/>
      <c r="BX13" s="162"/>
      <c r="BY13" s="162" t="s">
        <v>367</v>
      </c>
      <c r="BZ13" s="162"/>
      <c r="CA13" s="162"/>
      <c r="CB13" s="162"/>
      <c r="CC13" s="162"/>
      <c r="CD13" s="162"/>
      <c r="CE13" s="162"/>
      <c r="CF13" s="162"/>
      <c r="CG13" s="162"/>
      <c r="CH13" s="162"/>
      <c r="CI13" s="162" t="s">
        <v>327</v>
      </c>
      <c r="CJ13" s="162" t="s">
        <v>328</v>
      </c>
      <c r="CK13" s="162" t="s">
        <v>514</v>
      </c>
      <c r="CL13" s="162" t="s">
        <v>515</v>
      </c>
      <c r="CM13" s="162" t="s">
        <v>516</v>
      </c>
      <c r="CN13" s="162">
        <v>1262</v>
      </c>
      <c r="CO13" s="162"/>
      <c r="CP13" s="162">
        <v>1262</v>
      </c>
      <c r="CQ13" s="162" t="s">
        <v>368</v>
      </c>
      <c r="CR13" s="162"/>
      <c r="CS13" s="162"/>
      <c r="CT13" s="161"/>
      <c r="CU13" s="161"/>
      <c r="CV13" s="161" t="s">
        <v>349</v>
      </c>
      <c r="CW13" s="161"/>
      <c r="CX13" s="161"/>
      <c r="CY13" s="161"/>
      <c r="CZ13" s="161"/>
      <c r="DA13" s="161"/>
      <c r="DB13" s="152" t="s">
        <v>108</v>
      </c>
      <c r="DC13" s="328"/>
      <c r="DD13" s="161"/>
      <c r="DE13" s="161" t="s">
        <v>270</v>
      </c>
      <c r="DF13" s="161"/>
      <c r="DG13" s="487"/>
      <c r="DH13" s="162" t="s">
        <v>478</v>
      </c>
      <c r="DI13" s="162" t="s">
        <v>479</v>
      </c>
      <c r="DJ13" s="162" t="s">
        <v>480</v>
      </c>
      <c r="DK13" s="162"/>
      <c r="DL13" s="162"/>
      <c r="DM13" s="294"/>
      <c r="DN13" s="294"/>
      <c r="DO13" s="294"/>
      <c r="DP13" s="294"/>
      <c r="DQ13" s="294"/>
      <c r="DR13" s="294"/>
      <c r="DS13" s="294"/>
      <c r="DT13" s="294"/>
      <c r="DU13" s="294"/>
      <c r="DV13" s="294"/>
      <c r="DW13" s="294"/>
      <c r="DX13" s="294"/>
      <c r="DY13" s="294"/>
      <c r="DZ13" s="294"/>
      <c r="EA13" s="294"/>
      <c r="EB13" s="294"/>
      <c r="EC13" s="294"/>
      <c r="ED13" s="294"/>
      <c r="EE13" s="294"/>
      <c r="EF13" s="294"/>
      <c r="EG13" s="294"/>
      <c r="EH13" s="294"/>
      <c r="EI13" s="294"/>
      <c r="EJ13" s="294"/>
      <c r="EK13" s="294"/>
      <c r="EL13" s="294"/>
      <c r="EM13" s="294"/>
      <c r="EN13" s="294"/>
      <c r="EO13" s="1135" t="s">
        <v>108</v>
      </c>
      <c r="EP13" s="1135" t="s">
        <v>109</v>
      </c>
      <c r="EQ13" s="1135" t="s">
        <v>110</v>
      </c>
      <c r="ER13" s="1152">
        <v>875</v>
      </c>
      <c r="ES13" s="1149"/>
      <c r="ET13" s="1307"/>
      <c r="EU13" s="1307"/>
      <c r="EV13" s="487"/>
      <c r="EW13" s="294"/>
      <c r="EX13" s="294"/>
      <c r="EY13" s="294"/>
    </row>
    <row r="14" spans="1:155" ht="14.25" customHeight="1" thickBot="1">
      <c r="A14" s="76" t="s">
        <v>0</v>
      </c>
      <c r="B14" s="77" t="s">
        <v>443</v>
      </c>
      <c r="C14" s="78" t="s">
        <v>4</v>
      </c>
      <c r="D14" s="79"/>
      <c r="E14" s="80"/>
      <c r="F14" s="80"/>
      <c r="G14" s="81"/>
      <c r="H14" s="82"/>
      <c r="I14" s="108">
        <f t="shared" ref="I14:N14" si="6">SUBTOTAL(9,I9:I13)</f>
        <v>0</v>
      </c>
      <c r="J14" s="108">
        <f t="shared" si="6"/>
        <v>0</v>
      </c>
      <c r="K14" s="108">
        <f t="shared" si="6"/>
        <v>0</v>
      </c>
      <c r="L14" s="108">
        <f t="shared" si="6"/>
        <v>0</v>
      </c>
      <c r="M14" s="108">
        <f t="shared" si="6"/>
        <v>0</v>
      </c>
      <c r="N14" s="108">
        <f t="shared" si="6"/>
        <v>0</v>
      </c>
      <c r="O14" s="108"/>
      <c r="P14" s="108">
        <f t="shared" ref="P14:BC14" si="7">SUBTOTAL(9,P9:P13)</f>
        <v>0</v>
      </c>
      <c r="Q14" s="108">
        <f t="shared" si="7"/>
        <v>0</v>
      </c>
      <c r="R14" s="108">
        <f t="shared" si="7"/>
        <v>0</v>
      </c>
      <c r="S14" s="108">
        <f t="shared" si="7"/>
        <v>0</v>
      </c>
      <c r="T14" s="108">
        <f t="shared" si="7"/>
        <v>0</v>
      </c>
      <c r="U14" s="108">
        <f t="shared" si="7"/>
        <v>0</v>
      </c>
      <c r="V14" s="108">
        <f t="shared" si="7"/>
        <v>0</v>
      </c>
      <c r="W14" s="108">
        <f t="shared" si="7"/>
        <v>0</v>
      </c>
      <c r="X14" s="108">
        <f t="shared" si="7"/>
        <v>0</v>
      </c>
      <c r="Y14" s="109">
        <f t="shared" si="7"/>
        <v>0</v>
      </c>
      <c r="Z14" s="108">
        <f t="shared" si="7"/>
        <v>0</v>
      </c>
      <c r="AA14" s="108">
        <f t="shared" si="7"/>
        <v>0</v>
      </c>
      <c r="AB14" s="108">
        <f t="shared" si="7"/>
        <v>0</v>
      </c>
      <c r="AC14" s="108">
        <f t="shared" si="7"/>
        <v>0</v>
      </c>
      <c r="AD14" s="108">
        <f t="shared" si="7"/>
        <v>0</v>
      </c>
      <c r="AE14" s="108">
        <f t="shared" si="7"/>
        <v>0</v>
      </c>
      <c r="AF14" s="108">
        <f t="shared" si="7"/>
        <v>0</v>
      </c>
      <c r="AG14" s="109">
        <f t="shared" si="7"/>
        <v>0</v>
      </c>
      <c r="AH14" s="108">
        <f t="shared" si="7"/>
        <v>0</v>
      </c>
      <c r="AI14" s="108">
        <f t="shared" si="7"/>
        <v>0</v>
      </c>
      <c r="AJ14" s="110">
        <f t="shared" si="7"/>
        <v>0</v>
      </c>
      <c r="AK14" s="83">
        <f t="shared" si="7"/>
        <v>0</v>
      </c>
      <c r="AL14" s="108">
        <f t="shared" si="7"/>
        <v>0</v>
      </c>
      <c r="AM14" s="108">
        <f t="shared" si="7"/>
        <v>0</v>
      </c>
      <c r="AN14" s="112">
        <f t="shared" si="7"/>
        <v>0</v>
      </c>
      <c r="AO14" s="111">
        <f t="shared" si="7"/>
        <v>0</v>
      </c>
      <c r="AP14" s="111">
        <f t="shared" si="7"/>
        <v>0</v>
      </c>
      <c r="AQ14" s="111">
        <f t="shared" si="7"/>
        <v>0</v>
      </c>
      <c r="AR14" s="111">
        <f t="shared" si="7"/>
        <v>0</v>
      </c>
      <c r="AS14" s="111">
        <f t="shared" si="7"/>
        <v>0</v>
      </c>
      <c r="AT14" s="111">
        <f t="shared" si="7"/>
        <v>0</v>
      </c>
      <c r="AU14" s="111">
        <f t="shared" si="7"/>
        <v>0</v>
      </c>
      <c r="AV14" s="111">
        <f t="shared" si="7"/>
        <v>0</v>
      </c>
      <c r="AW14" s="111">
        <f t="shared" si="7"/>
        <v>0</v>
      </c>
      <c r="AX14" s="111">
        <f t="shared" si="7"/>
        <v>0</v>
      </c>
      <c r="AY14" s="132">
        <f t="shared" si="7"/>
        <v>0</v>
      </c>
      <c r="AZ14" s="133">
        <f t="shared" si="7"/>
        <v>0</v>
      </c>
      <c r="BA14" s="133">
        <f t="shared" si="7"/>
        <v>0</v>
      </c>
      <c r="BB14" s="133">
        <f t="shared" si="7"/>
        <v>0</v>
      </c>
      <c r="BC14" s="134">
        <f t="shared" si="7"/>
        <v>0</v>
      </c>
      <c r="BD14" s="113" t="str">
        <f>IF(ISNUMBER(BA14/AZ14),BA14/AZ14," - ")</f>
        <v xml:space="preserve"> - </v>
      </c>
      <c r="BE14" s="114" t="str">
        <f>IF(ISNUMBER(BB14/BA14),BB14/BA14, " - ")</f>
        <v xml:space="preserve"> - </v>
      </c>
      <c r="BF14" s="114" t="str">
        <f>IF(ISNUMBER(BC14/BA14),BC14/BA14, " - ")</f>
        <v xml:space="preserve"> - </v>
      </c>
      <c r="BG14" s="115" t="str">
        <f>IF(ISNUMBER((AY14+AZ14)/BA14),(AY14+AZ14)/BA14," - ")</f>
        <v xml:space="preserve"> - </v>
      </c>
      <c r="BH14" s="111">
        <f>SUBTOTAL(9,BH9:BH13)</f>
        <v>0</v>
      </c>
      <c r="BI14" s="111">
        <f>SUBTOTAL(9,BI9:BI13)</f>
        <v>0</v>
      </c>
      <c r="BJ14" s="109"/>
      <c r="BK14" s="111">
        <f>SUBTOTAL(9,BK9:BK13)</f>
        <v>0</v>
      </c>
      <c r="BL14" s="11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f>SUM(CI9:CI13)</f>
        <v>0</v>
      </c>
      <c r="CJ14" s="156">
        <f>SUM(CJ9:CJ13)</f>
        <v>0</v>
      </c>
      <c r="CK14" s="156"/>
      <c r="CL14" s="156"/>
      <c r="CM14" s="156"/>
      <c r="CN14" s="156"/>
      <c r="CO14" s="156"/>
      <c r="CP14" s="156"/>
      <c r="CQ14" s="156"/>
      <c r="CR14" s="156"/>
      <c r="CS14" s="156"/>
      <c r="CT14" s="156"/>
      <c r="CU14" s="156"/>
      <c r="CV14" s="156"/>
      <c r="CW14" s="156"/>
      <c r="CX14" s="156"/>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9"/>
      <c r="EP14" s="329"/>
      <c r="EQ14" s="329"/>
      <c r="ER14" s="156">
        <f>AVERAGE(ER8:ER13)</f>
        <v>971</v>
      </c>
      <c r="ES14" s="156">
        <f>SUBTOTAL(9,ES8:ES13)</f>
        <v>0</v>
      </c>
      <c r="ET14" s="156"/>
      <c r="EU14" s="156"/>
      <c r="EV14" s="156">
        <f>SUBTOTAL(9,EV8:EV13)</f>
        <v>0</v>
      </c>
      <c r="EW14" s="156">
        <f>SUBTOTAL(9,EW8:EW13)</f>
        <v>0</v>
      </c>
      <c r="EX14" s="156">
        <f>SUBTOTAL(9,EX8:EX13)</f>
        <v>0</v>
      </c>
      <c r="EY14" s="156">
        <f>SUBTOTAL(9,EY8:EY13)</f>
        <v>0</v>
      </c>
    </row>
    <row r="15" spans="1:155" ht="14.25" customHeight="1">
      <c r="A15" s="72" t="s">
        <v>113</v>
      </c>
      <c r="B15" s="84" t="s">
        <v>443</v>
      </c>
      <c r="C15" s="85" t="s">
        <v>2</v>
      </c>
      <c r="D15" s="86"/>
      <c r="E15" s="87"/>
      <c r="F15" s="87"/>
      <c r="G15" s="88"/>
      <c r="H15" s="89"/>
      <c r="I15" s="90"/>
      <c r="J15" s="18"/>
      <c r="K15" s="18"/>
      <c r="L15" s="18"/>
      <c r="M15" s="18"/>
      <c r="N15" s="18"/>
      <c r="O15" s="18"/>
      <c r="P15" s="18"/>
      <c r="Q15" s="18"/>
      <c r="R15" s="18"/>
      <c r="S15" s="18"/>
      <c r="T15" s="18"/>
      <c r="U15" s="18"/>
      <c r="V15" s="18"/>
      <c r="W15" s="18"/>
      <c r="X15" s="53"/>
      <c r="Y15" s="50"/>
      <c r="Z15" s="18"/>
      <c r="AA15" s="18"/>
      <c r="AB15" s="18"/>
      <c r="AC15" s="18"/>
      <c r="AD15" s="18"/>
      <c r="AE15" s="18"/>
      <c r="AF15" s="53"/>
      <c r="AG15" s="50"/>
      <c r="AH15" s="18"/>
      <c r="AI15" s="18"/>
      <c r="AJ15" s="19"/>
      <c r="AK15" s="17"/>
      <c r="AL15" s="18"/>
      <c r="AM15" s="18"/>
      <c r="AN15" s="53"/>
      <c r="AO15" s="62"/>
      <c r="AP15" s="62"/>
      <c r="AQ15" s="62"/>
      <c r="AR15" s="62"/>
      <c r="AS15" s="324"/>
      <c r="AT15" s="200"/>
      <c r="AU15" s="324"/>
      <c r="AV15" s="200"/>
      <c r="AW15" s="199"/>
      <c r="AX15" s="200"/>
      <c r="AY15" s="105"/>
      <c r="AZ15" s="106"/>
      <c r="BA15" s="106"/>
      <c r="BB15" s="106"/>
      <c r="BC15" s="107"/>
      <c r="BD15" s="105"/>
      <c r="BE15" s="106"/>
      <c r="BF15" s="106"/>
      <c r="BG15" s="107"/>
      <c r="BH15" s="62"/>
      <c r="BI15" s="62"/>
      <c r="BJ15" s="50"/>
      <c r="BK15" s="62"/>
      <c r="BL15" s="62"/>
      <c r="BM15" s="157"/>
      <c r="BN15" s="157"/>
      <c r="BO15" s="157"/>
      <c r="BP15" s="157"/>
      <c r="BQ15" s="157"/>
      <c r="BR15" s="157"/>
      <c r="BS15" s="157"/>
      <c r="BT15" s="157"/>
      <c r="BU15" s="157"/>
      <c r="BV15" s="157"/>
      <c r="BW15" s="157"/>
      <c r="BX15" s="157"/>
      <c r="BY15" s="157"/>
      <c r="BZ15" s="157"/>
      <c r="CA15" s="157"/>
      <c r="CB15" s="157"/>
      <c r="CC15" s="157"/>
      <c r="CD15" s="157"/>
      <c r="CE15" s="157"/>
      <c r="CF15" s="157"/>
      <c r="CG15" s="157"/>
      <c r="CH15" s="157"/>
      <c r="CI15" s="157"/>
      <c r="CJ15" s="157"/>
      <c r="CK15" s="157"/>
      <c r="CL15" s="157"/>
      <c r="CM15" s="157"/>
      <c r="CN15" s="157"/>
      <c r="CO15" s="157"/>
      <c r="CP15" s="157"/>
      <c r="CQ15" s="157"/>
      <c r="CR15" s="157"/>
      <c r="CS15" s="157"/>
      <c r="CT15" s="157"/>
      <c r="CU15" s="157"/>
      <c r="CV15" s="157"/>
      <c r="CW15" s="157"/>
      <c r="CX15" s="157"/>
      <c r="CY15" s="157"/>
      <c r="CZ15" s="157"/>
      <c r="DA15" s="157"/>
      <c r="DB15" s="324"/>
      <c r="DC15" s="325"/>
      <c r="DD15" s="332"/>
      <c r="DE15" s="332"/>
      <c r="DF15" s="332"/>
      <c r="DG15" s="157"/>
      <c r="DH15" s="157"/>
      <c r="DI15" s="157"/>
      <c r="DJ15" s="157"/>
      <c r="DK15" s="157"/>
      <c r="DL15" s="157"/>
      <c r="DM15" s="157"/>
      <c r="DN15" s="157"/>
      <c r="DO15" s="157"/>
      <c r="DP15" s="157"/>
      <c r="DQ15" s="157"/>
      <c r="DR15" s="157"/>
      <c r="DS15" s="157"/>
      <c r="DT15" s="157"/>
      <c r="DU15" s="157"/>
      <c r="DV15" s="157"/>
      <c r="DW15" s="157"/>
      <c r="DX15" s="157"/>
      <c r="DY15" s="157"/>
      <c r="DZ15" s="157"/>
      <c r="EA15" s="157"/>
      <c r="EB15" s="157"/>
      <c r="EC15" s="157"/>
      <c r="ED15" s="157"/>
      <c r="EE15" s="157"/>
      <c r="EF15" s="157"/>
      <c r="EG15" s="157"/>
      <c r="EH15" s="157"/>
      <c r="EI15" s="157"/>
      <c r="EJ15" s="157"/>
      <c r="EK15" s="157"/>
      <c r="EL15" s="157"/>
      <c r="EM15" s="157"/>
      <c r="EN15" s="157"/>
      <c r="EO15" s="324"/>
      <c r="EP15" s="324"/>
      <c r="EQ15" s="324"/>
      <c r="ER15" s="348"/>
      <c r="ES15" s="348"/>
      <c r="ET15" s="188"/>
      <c r="EU15" s="188"/>
      <c r="EV15" s="157"/>
      <c r="EW15" s="157"/>
      <c r="EX15" s="157"/>
      <c r="EY15" s="157"/>
    </row>
    <row r="16" spans="1:155" s="694" customFormat="1" ht="14.25" customHeight="1">
      <c r="A16" s="655" t="s">
        <v>446</v>
      </c>
      <c r="B16" s="676" t="s">
        <v>443</v>
      </c>
      <c r="C16" s="677" t="s">
        <v>3</v>
      </c>
      <c r="D16" s="678" t="s">
        <v>20</v>
      </c>
      <c r="E16" s="676" t="s">
        <v>22</v>
      </c>
      <c r="F16" s="676">
        <v>33</v>
      </c>
      <c r="G16" s="679"/>
      <c r="H16" s="680"/>
      <c r="I16" s="323" t="s">
        <v>576</v>
      </c>
      <c r="J16" s="322" t="s">
        <v>847</v>
      </c>
      <c r="K16" s="322" t="s">
        <v>855</v>
      </c>
      <c r="L16" s="322" t="s">
        <v>860</v>
      </c>
      <c r="M16" s="322" t="s">
        <v>575</v>
      </c>
      <c r="N16" s="322" t="s">
        <v>358</v>
      </c>
      <c r="O16" s="681" t="s">
        <v>359</v>
      </c>
      <c r="P16" s="322" t="s">
        <v>531</v>
      </c>
      <c r="Q16" s="322" t="s">
        <v>532</v>
      </c>
      <c r="R16" s="322" t="s">
        <v>533</v>
      </c>
      <c r="S16" s="322"/>
      <c r="T16" s="322"/>
      <c r="U16" s="322"/>
      <c r="V16" s="322"/>
      <c r="W16" s="322"/>
      <c r="X16" s="682"/>
      <c r="Y16" s="683"/>
      <c r="Z16" s="322"/>
      <c r="AA16" s="322"/>
      <c r="AB16" s="322"/>
      <c r="AC16" s="322" t="s">
        <v>46</v>
      </c>
      <c r="AD16" s="322" t="s">
        <v>51</v>
      </c>
      <c r="AE16" s="322" t="s">
        <v>52</v>
      </c>
      <c r="AF16" s="682" t="s">
        <v>53</v>
      </c>
      <c r="AG16" s="683"/>
      <c r="AH16" s="322"/>
      <c r="AI16" s="322"/>
      <c r="AJ16" s="684"/>
      <c r="AK16" s="323"/>
      <c r="AL16" s="322"/>
      <c r="AM16" s="322"/>
      <c r="AN16" s="682"/>
      <c r="AO16" s="685"/>
      <c r="AP16" s="685"/>
      <c r="AQ16" s="685"/>
      <c r="AR16" s="685"/>
      <c r="AS16" s="683" t="s">
        <v>809</v>
      </c>
      <c r="AT16" s="684" t="s">
        <v>802</v>
      </c>
      <c r="AU16" s="683" t="s">
        <v>586</v>
      </c>
      <c r="AV16" s="684" t="s">
        <v>803</v>
      </c>
      <c r="AW16" s="683" t="s">
        <v>587</v>
      </c>
      <c r="AX16" s="684" t="s">
        <v>804</v>
      </c>
      <c r="AY16" s="686" t="str">
        <f>IF(ISNUMBER(IF(Criterios!B14="SI",S16,S16+AK16)),IF(Criterios!B14="SI",S16,S16+AK16)," - ")</f>
        <v xml:space="preserve"> - </v>
      </c>
      <c r="AZ16" s="687" t="str">
        <f>IF(ISNUMBER(IF(Criterios!B14="SI",T16,T16+AL16)),IF(Criterios!B14="SI",T16,T16+AL16)," - ")</f>
        <v xml:space="preserve"> - </v>
      </c>
      <c r="BA16" s="687" t="str">
        <f>IF(ISNUMBER(IF(Criterios!B14="SI",U16,U16+AM16)),IF(Criterios!B14="SI",U16,U16+AM16)," - ")</f>
        <v xml:space="preserve"> - </v>
      </c>
      <c r="BB16" s="687" t="str">
        <f>IF(ISNUMBER(IF(Criterios!B14="SI",V16,V16+AN16)),IF(Criterios!B14="SI",V16,V16+AN16)," - ")</f>
        <v xml:space="preserve"> - </v>
      </c>
      <c r="BC16" s="688" t="str">
        <f t="shared" ref="BC16:BC19" si="8">IF(ISNUMBER(W16),W16," - ")</f>
        <v xml:space="preserve"> - </v>
      </c>
      <c r="BD16" s="689" t="str">
        <f t="shared" ref="BD16:BD19" si="9">IF(ISNUMBER(BA16/AZ16),BA16/AZ16," - ")</f>
        <v xml:space="preserve"> - </v>
      </c>
      <c r="BE16" s="690" t="str">
        <f t="shared" ref="BE16:BE19" si="10">IF(ISNUMBER(BB16/BA16),BB16/BA16, " - ")</f>
        <v xml:space="preserve"> - </v>
      </c>
      <c r="BF16" s="690" t="str">
        <f t="shared" ref="BF16:BF19" si="11">IF(ISNUMBER(BC16/BA16),BC16/BA16, " - ")</f>
        <v xml:space="preserve"> - </v>
      </c>
      <c r="BG16" s="691" t="str">
        <f t="shared" ref="BG16:BG19" si="12">IF(ISNUMBER((AY16+AZ16)/BA16),(AY16+AZ16)/BA16," - ")</f>
        <v xml:space="preserve"> - </v>
      </c>
      <c r="BH16" s="685"/>
      <c r="BI16" s="685"/>
      <c r="BJ16" s="683"/>
      <c r="BK16" s="685"/>
      <c r="BL16" s="685"/>
      <c r="BM16" s="692">
        <v>6650</v>
      </c>
      <c r="BN16" s="692"/>
      <c r="BO16" s="692"/>
      <c r="BP16" s="692"/>
      <c r="BQ16" s="692"/>
      <c r="BR16" s="692"/>
      <c r="BS16" s="692"/>
      <c r="BT16" s="692"/>
      <c r="BU16" s="692"/>
      <c r="BV16" s="692" t="s">
        <v>421</v>
      </c>
      <c r="BW16" s="692" t="s">
        <v>335</v>
      </c>
      <c r="BX16" s="692" t="s">
        <v>336</v>
      </c>
      <c r="BY16" s="693" t="s">
        <v>835</v>
      </c>
      <c r="BZ16" s="693" t="s">
        <v>921</v>
      </c>
      <c r="CA16" s="692"/>
      <c r="CB16" s="692"/>
      <c r="CC16" s="692"/>
      <c r="CD16" s="692"/>
      <c r="CE16" s="692"/>
      <c r="CF16" s="692"/>
      <c r="CG16" s="692"/>
      <c r="CH16" s="692"/>
      <c r="CI16" s="692" t="s">
        <v>547</v>
      </c>
      <c r="CJ16" s="692" t="s">
        <v>438</v>
      </c>
      <c r="CK16" s="692" t="s">
        <v>517</v>
      </c>
      <c r="CL16" s="692" t="s">
        <v>518</v>
      </c>
      <c r="CM16" s="692" t="s">
        <v>519</v>
      </c>
      <c r="CN16" s="692">
        <v>1262</v>
      </c>
      <c r="CO16" s="692">
        <v>6600</v>
      </c>
      <c r="CP16" s="692">
        <v>1262</v>
      </c>
      <c r="CQ16" s="693" t="s">
        <v>577</v>
      </c>
      <c r="CR16" s="693" t="s">
        <v>922</v>
      </c>
      <c r="CS16" s="692" t="s">
        <v>430</v>
      </c>
      <c r="CT16" s="487"/>
      <c r="CU16" s="487"/>
      <c r="CV16" s="487" t="s">
        <v>415</v>
      </c>
      <c r="CW16" s="487" t="s">
        <v>374</v>
      </c>
      <c r="CX16" s="487" t="s">
        <v>181</v>
      </c>
      <c r="CY16" s="487"/>
      <c r="CZ16" s="487"/>
      <c r="DA16" s="487"/>
      <c r="DB16" s="335" t="s">
        <v>848</v>
      </c>
      <c r="DC16" s="335" t="s">
        <v>849</v>
      </c>
      <c r="DD16" s="487"/>
      <c r="DE16" s="487" t="s">
        <v>584</v>
      </c>
      <c r="DF16" s="487" t="s">
        <v>452</v>
      </c>
      <c r="DG16" s="487"/>
      <c r="DH16" s="692" t="s">
        <v>469</v>
      </c>
      <c r="DI16" s="692" t="s">
        <v>470</v>
      </c>
      <c r="DJ16" s="692" t="s">
        <v>471</v>
      </c>
      <c r="DK16" s="692"/>
      <c r="DL16" s="692"/>
      <c r="DM16" s="692"/>
      <c r="DN16" s="692"/>
      <c r="DO16" s="692"/>
      <c r="DP16" s="692"/>
      <c r="DQ16" s="692"/>
      <c r="DR16" s="692"/>
      <c r="DS16" s="692"/>
      <c r="DT16" s="692"/>
      <c r="DU16" s="692" t="s">
        <v>670</v>
      </c>
      <c r="DV16" s="692"/>
      <c r="DW16" s="692"/>
      <c r="DX16" s="692"/>
      <c r="DY16" s="692"/>
      <c r="DZ16" s="692"/>
      <c r="EA16" s="692"/>
      <c r="EB16" s="692" t="s">
        <v>807</v>
      </c>
      <c r="EC16" s="692" t="s">
        <v>679</v>
      </c>
      <c r="ED16" s="692"/>
      <c r="EE16" s="692">
        <v>6000</v>
      </c>
      <c r="EF16" s="692">
        <v>650</v>
      </c>
      <c r="EG16" s="692"/>
      <c r="EH16" s="692"/>
      <c r="EI16" s="692" t="s">
        <v>680</v>
      </c>
      <c r="EJ16" s="692"/>
      <c r="EK16" s="692"/>
      <c r="EL16" s="692"/>
      <c r="EM16" s="692"/>
      <c r="EN16" s="692"/>
      <c r="EO16" s="1136" t="s">
        <v>878</v>
      </c>
      <c r="EP16" s="1136" t="s">
        <v>882</v>
      </c>
      <c r="EQ16" s="1136" t="s">
        <v>890</v>
      </c>
      <c r="ER16" s="1153" t="s">
        <v>838</v>
      </c>
      <c r="ES16" s="1147"/>
      <c r="ET16" s="1307"/>
      <c r="EU16" s="1307"/>
      <c r="EV16" s="487" t="s">
        <v>908</v>
      </c>
      <c r="EW16" s="692"/>
      <c r="EX16" s="692"/>
      <c r="EY16" s="692"/>
    </row>
    <row r="17" spans="1:155" ht="14.25" customHeight="1">
      <c r="A17" s="7" t="s">
        <v>445</v>
      </c>
      <c r="B17" s="21" t="s">
        <v>443</v>
      </c>
      <c r="C17" s="22" t="s">
        <v>3</v>
      </c>
      <c r="D17" s="23" t="s">
        <v>20</v>
      </c>
      <c r="E17" s="21" t="s">
        <v>20</v>
      </c>
      <c r="F17" s="21">
        <v>31</v>
      </c>
      <c r="G17" s="6"/>
      <c r="H17" s="24"/>
      <c r="I17" s="25" t="s">
        <v>576</v>
      </c>
      <c r="J17" s="26" t="s">
        <v>850</v>
      </c>
      <c r="K17" s="26" t="s">
        <v>856</v>
      </c>
      <c r="L17" s="26" t="s">
        <v>861</v>
      </c>
      <c r="M17" s="26" t="s">
        <v>575</v>
      </c>
      <c r="N17" s="26" t="s">
        <v>168</v>
      </c>
      <c r="O17" s="59" t="s">
        <v>248</v>
      </c>
      <c r="P17" s="26" t="s">
        <v>531</v>
      </c>
      <c r="Q17" s="26" t="s">
        <v>532</v>
      </c>
      <c r="R17" s="26" t="s">
        <v>533</v>
      </c>
      <c r="S17" s="26"/>
      <c r="T17" s="26"/>
      <c r="U17" s="26"/>
      <c r="V17" s="26"/>
      <c r="W17" s="26"/>
      <c r="X17" s="54"/>
      <c r="Y17" s="51"/>
      <c r="Z17" s="26"/>
      <c r="AA17" s="26"/>
      <c r="AB17" s="26"/>
      <c r="AC17" s="26" t="s">
        <v>46</v>
      </c>
      <c r="AD17" s="26" t="s">
        <v>51</v>
      </c>
      <c r="AE17" s="26" t="s">
        <v>52</v>
      </c>
      <c r="AF17" s="54" t="s">
        <v>53</v>
      </c>
      <c r="AG17" s="51"/>
      <c r="AH17" s="26"/>
      <c r="AI17" s="26"/>
      <c r="AJ17" s="27"/>
      <c r="AK17" s="25"/>
      <c r="AL17" s="26"/>
      <c r="AM17" s="26"/>
      <c r="AN17" s="54"/>
      <c r="AO17" s="61"/>
      <c r="AP17" s="61"/>
      <c r="AQ17" s="61"/>
      <c r="AR17" s="61"/>
      <c r="AS17" s="51" t="s">
        <v>851</v>
      </c>
      <c r="AT17" s="27"/>
      <c r="AU17" s="51" t="s">
        <v>857</v>
      </c>
      <c r="AV17" s="27"/>
      <c r="AW17" s="51" t="s">
        <v>862</v>
      </c>
      <c r="AX17" s="27"/>
      <c r="AY17" s="128" t="str">
        <f>IF(ISNUMBER(IF(Criterios!B14="SI",S17,S17+AK17)),IF(Criterios!B14="SI",S17,S17+AK17)," - ")</f>
        <v xml:space="preserve"> - </v>
      </c>
      <c r="AZ17" s="129" t="str">
        <f>IF(ISNUMBER(IF(Criterios!B14="SI",T17,T17+AL17)),IF(Criterios!B14="SI",T17,T17+AL17)," - ")</f>
        <v xml:space="preserve"> - </v>
      </c>
      <c r="BA17" s="129" t="str">
        <f>IF(ISNUMBER(IF(Criterios!B14="SI",U17,U17+AM17)),IF(Criterios!B14="SI",U17,U17+AM17)," - ")</f>
        <v xml:space="preserve"> - </v>
      </c>
      <c r="BB17" s="129" t="str">
        <f>IF(ISNUMBER(IF(Criterios!B14="SI",V17,V17+AN17)),IF(Criterios!B14="SI",V17,V17+AN17)," - ")</f>
        <v xml:space="preserve"> - </v>
      </c>
      <c r="BC17" s="127" t="str">
        <f t="shared" si="8"/>
        <v xml:space="preserve"> - </v>
      </c>
      <c r="BD17" s="102" t="str">
        <f t="shared" si="9"/>
        <v xml:space="preserve"> - </v>
      </c>
      <c r="BE17" s="103" t="str">
        <f t="shared" si="10"/>
        <v xml:space="preserve"> - </v>
      </c>
      <c r="BF17" s="103" t="str">
        <f t="shared" si="11"/>
        <v xml:space="preserve"> - </v>
      </c>
      <c r="BG17" s="104" t="str">
        <f t="shared" si="12"/>
        <v xml:space="preserve"> - </v>
      </c>
      <c r="BH17" s="61"/>
      <c r="BI17" s="61"/>
      <c r="BJ17" s="51"/>
      <c r="BK17" s="61"/>
      <c r="BL17" s="61"/>
      <c r="BM17" s="162">
        <v>2500</v>
      </c>
      <c r="BN17" s="160"/>
      <c r="BO17" s="160"/>
      <c r="BP17" s="160"/>
      <c r="BQ17" s="160"/>
      <c r="BR17" s="160"/>
      <c r="BS17" s="160"/>
      <c r="BT17" s="159"/>
      <c r="BU17" s="159"/>
      <c r="BV17" s="160" t="s">
        <v>421</v>
      </c>
      <c r="BW17" s="160" t="s">
        <v>419</v>
      </c>
      <c r="BX17" s="160" t="s">
        <v>420</v>
      </c>
      <c r="BY17" s="178" t="s">
        <v>589</v>
      </c>
      <c r="BZ17" s="162"/>
      <c r="CA17" s="162"/>
      <c r="CB17" s="162"/>
      <c r="CC17" s="162"/>
      <c r="CD17" s="162"/>
      <c r="CE17" s="162"/>
      <c r="CF17" s="162"/>
      <c r="CG17" s="162"/>
      <c r="CH17" s="162"/>
      <c r="CI17" s="162" t="s">
        <v>547</v>
      </c>
      <c r="CJ17" s="162" t="s">
        <v>438</v>
      </c>
      <c r="CK17" s="160" t="s">
        <v>517</v>
      </c>
      <c r="CL17" s="160" t="s">
        <v>518</v>
      </c>
      <c r="CM17" s="160" t="s">
        <v>519</v>
      </c>
      <c r="CN17" s="294" t="s">
        <v>369</v>
      </c>
      <c r="CO17" s="162">
        <v>2880</v>
      </c>
      <c r="CP17" s="219" t="s">
        <v>338</v>
      </c>
      <c r="CQ17" s="219" t="s">
        <v>577</v>
      </c>
      <c r="CR17" s="219"/>
      <c r="CS17" s="160" t="s">
        <v>430</v>
      </c>
      <c r="CT17" s="161"/>
      <c r="CU17" s="161"/>
      <c r="CV17" s="161" t="s">
        <v>415</v>
      </c>
      <c r="CW17" s="161" t="s">
        <v>374</v>
      </c>
      <c r="CX17" s="161" t="s">
        <v>181</v>
      </c>
      <c r="CY17" s="161"/>
      <c r="CZ17" s="161"/>
      <c r="DA17" s="161"/>
      <c r="DB17" s="152" t="s">
        <v>852</v>
      </c>
      <c r="DC17" s="152" t="s">
        <v>853</v>
      </c>
      <c r="DD17" s="161"/>
      <c r="DE17" s="161" t="s">
        <v>584</v>
      </c>
      <c r="DF17" s="161" t="s">
        <v>452</v>
      </c>
      <c r="DG17" s="487"/>
      <c r="DH17" s="160" t="s">
        <v>469</v>
      </c>
      <c r="DI17" s="160" t="s">
        <v>470</v>
      </c>
      <c r="DJ17" s="160" t="s">
        <v>471</v>
      </c>
      <c r="DK17" s="160"/>
      <c r="DL17" s="160"/>
      <c r="DM17" s="160"/>
      <c r="DN17" s="160"/>
      <c r="DO17" s="160"/>
      <c r="DP17" s="160"/>
      <c r="DQ17" s="160"/>
      <c r="DR17" s="160"/>
      <c r="DS17" s="160"/>
      <c r="DT17" s="160"/>
      <c r="DU17" s="160" t="s">
        <v>670</v>
      </c>
      <c r="DV17" s="160"/>
      <c r="DW17" s="160"/>
      <c r="DX17" s="160"/>
      <c r="DY17" s="160"/>
      <c r="DZ17" s="160"/>
      <c r="EA17" s="160"/>
      <c r="EB17" s="160"/>
      <c r="EC17" s="160"/>
      <c r="ED17" s="160"/>
      <c r="EE17" s="160"/>
      <c r="EF17" s="160"/>
      <c r="EG17" s="160"/>
      <c r="EH17" s="160"/>
      <c r="EI17" s="160" t="s">
        <v>680</v>
      </c>
      <c r="EJ17" s="160"/>
      <c r="EK17" s="160"/>
      <c r="EL17" s="160"/>
      <c r="EM17" s="160"/>
      <c r="EN17" s="160"/>
      <c r="EO17" s="1136" t="s">
        <v>854</v>
      </c>
      <c r="EP17" s="1136" t="s">
        <v>858</v>
      </c>
      <c r="EQ17" s="1136" t="s">
        <v>863</v>
      </c>
      <c r="ER17" s="1152">
        <v>1000</v>
      </c>
      <c r="ES17" s="1147"/>
      <c r="ET17" s="1307"/>
      <c r="EU17" s="1307"/>
      <c r="EV17" s="487" t="s">
        <v>908</v>
      </c>
      <c r="EW17" s="160"/>
      <c r="EX17" s="160"/>
      <c r="EY17" s="160"/>
    </row>
    <row r="18" spans="1:155" ht="14.25" customHeight="1">
      <c r="A18" s="7" t="s">
        <v>156</v>
      </c>
      <c r="B18" s="21" t="s">
        <v>443</v>
      </c>
      <c r="C18" s="22" t="s">
        <v>3</v>
      </c>
      <c r="D18" s="23" t="s">
        <v>85</v>
      </c>
      <c r="E18" s="21" t="s">
        <v>85</v>
      </c>
      <c r="F18" s="21" t="s">
        <v>151</v>
      </c>
      <c r="G18" s="6"/>
      <c r="H18" s="24"/>
      <c r="I18" s="25" t="s">
        <v>157</v>
      </c>
      <c r="J18" s="26" t="s">
        <v>902</v>
      </c>
      <c r="K18" s="26" t="s">
        <v>159</v>
      </c>
      <c r="L18" s="26" t="s">
        <v>859</v>
      </c>
      <c r="M18" s="26" t="s">
        <v>574</v>
      </c>
      <c r="N18" s="26" t="s">
        <v>169</v>
      </c>
      <c r="O18" s="26" t="s">
        <v>249</v>
      </c>
      <c r="P18" s="26" t="s">
        <v>525</v>
      </c>
      <c r="Q18" s="26" t="s">
        <v>526</v>
      </c>
      <c r="R18" s="26" t="s">
        <v>527</v>
      </c>
      <c r="S18" s="26"/>
      <c r="T18" s="26"/>
      <c r="U18" s="26"/>
      <c r="V18" s="26"/>
      <c r="W18" s="26"/>
      <c r="X18" s="54"/>
      <c r="Y18" s="51"/>
      <c r="Z18" s="26"/>
      <c r="AA18" s="26"/>
      <c r="AB18" s="26"/>
      <c r="AC18" s="26"/>
      <c r="AD18" s="26"/>
      <c r="AE18" s="26"/>
      <c r="AF18" s="54"/>
      <c r="AG18" s="51"/>
      <c r="AH18" s="26"/>
      <c r="AI18" s="26"/>
      <c r="AJ18" s="27"/>
      <c r="AK18" s="25"/>
      <c r="AL18" s="26"/>
      <c r="AM18" s="26"/>
      <c r="AN18" s="54"/>
      <c r="AO18" s="61"/>
      <c r="AP18" s="61"/>
      <c r="AQ18" s="66"/>
      <c r="AR18" s="61"/>
      <c r="AS18" s="153" t="s">
        <v>590</v>
      </c>
      <c r="AT18" s="486" t="s">
        <v>361</v>
      </c>
      <c r="AU18" s="153" t="s">
        <v>362</v>
      </c>
      <c r="AV18" s="486" t="s">
        <v>363</v>
      </c>
      <c r="AW18" s="153" t="s">
        <v>364</v>
      </c>
      <c r="AX18" s="486" t="s">
        <v>365</v>
      </c>
      <c r="AY18" s="130" t="str">
        <f t="shared" ref="AY18:BB19" si="13">IF(ISNUMBER(S18),S18," - ")</f>
        <v xml:space="preserve"> - </v>
      </c>
      <c r="AZ18" s="131" t="str">
        <f t="shared" si="13"/>
        <v xml:space="preserve"> - </v>
      </c>
      <c r="BA18" s="131" t="str">
        <f t="shared" si="13"/>
        <v xml:space="preserve"> - </v>
      </c>
      <c r="BB18" s="131" t="str">
        <f t="shared" si="13"/>
        <v xml:space="preserve"> - </v>
      </c>
      <c r="BC18" s="127" t="str">
        <f t="shared" si="8"/>
        <v xml:space="preserve"> - </v>
      </c>
      <c r="BD18" s="102" t="str">
        <f t="shared" si="9"/>
        <v xml:space="preserve"> - </v>
      </c>
      <c r="BE18" s="103" t="str">
        <f t="shared" si="10"/>
        <v xml:space="preserve"> - </v>
      </c>
      <c r="BF18" s="103" t="str">
        <f t="shared" si="11"/>
        <v xml:space="preserve"> - </v>
      </c>
      <c r="BG18" s="104" t="str">
        <f t="shared" si="12"/>
        <v xml:space="preserve"> - </v>
      </c>
      <c r="BH18" s="61"/>
      <c r="BI18" s="61"/>
      <c r="BJ18" s="153"/>
      <c r="BK18" s="66"/>
      <c r="BL18" s="66"/>
      <c r="BM18" s="159">
        <v>1800</v>
      </c>
      <c r="BN18" s="159"/>
      <c r="BO18" s="159"/>
      <c r="BP18" s="159"/>
      <c r="BQ18" s="159"/>
      <c r="BR18" s="159"/>
      <c r="BS18" s="159"/>
      <c r="BT18" s="159"/>
      <c r="BU18" s="159"/>
      <c r="BV18" s="159" t="s">
        <v>339</v>
      </c>
      <c r="BW18" s="159" t="s">
        <v>343</v>
      </c>
      <c r="BX18" s="159" t="s">
        <v>344</v>
      </c>
      <c r="BY18" s="178" t="s">
        <v>796</v>
      </c>
      <c r="BZ18" s="179" t="s">
        <v>806</v>
      </c>
      <c r="CA18" s="159"/>
      <c r="CB18" s="159"/>
      <c r="CC18" s="159"/>
      <c r="CD18" s="159"/>
      <c r="CE18" s="159"/>
      <c r="CF18" s="159"/>
      <c r="CG18" s="159"/>
      <c r="CH18" s="159"/>
      <c r="CI18" s="159" t="s">
        <v>567</v>
      </c>
      <c r="CJ18" s="159" t="s">
        <v>329</v>
      </c>
      <c r="CK18" s="159" t="s">
        <v>520</v>
      </c>
      <c r="CL18" s="159" t="s">
        <v>521</v>
      </c>
      <c r="CM18" s="159" t="s">
        <v>521</v>
      </c>
      <c r="CN18" s="159">
        <v>1175</v>
      </c>
      <c r="CO18" s="159">
        <v>1800</v>
      </c>
      <c r="CP18" s="294" t="s">
        <v>459</v>
      </c>
      <c r="CQ18" s="159" t="s">
        <v>805</v>
      </c>
      <c r="CR18" s="159"/>
      <c r="CS18" s="159" t="s">
        <v>684</v>
      </c>
      <c r="CT18" s="161"/>
      <c r="CU18" s="161"/>
      <c r="CV18" s="161" t="s">
        <v>346</v>
      </c>
      <c r="CW18" s="161" t="s">
        <v>376</v>
      </c>
      <c r="CX18" s="161" t="s">
        <v>379</v>
      </c>
      <c r="CY18" s="161"/>
      <c r="CZ18" s="161"/>
      <c r="DA18" s="161"/>
      <c r="DB18" s="327" t="s">
        <v>846</v>
      </c>
      <c r="DC18" s="333"/>
      <c r="DD18" s="161"/>
      <c r="DE18" s="334" t="s">
        <v>583</v>
      </c>
      <c r="DF18" s="334" t="s">
        <v>158</v>
      </c>
      <c r="DG18" s="487"/>
      <c r="DH18" s="159" t="s">
        <v>477</v>
      </c>
      <c r="DI18" s="159" t="s">
        <v>475</v>
      </c>
      <c r="DJ18" s="159" t="s">
        <v>476</v>
      </c>
      <c r="DK18" s="159"/>
      <c r="DL18" s="159"/>
      <c r="DM18" s="160"/>
      <c r="DN18" s="160"/>
      <c r="DO18" s="160"/>
      <c r="DP18" s="160"/>
      <c r="DQ18" s="160"/>
      <c r="DR18" s="160"/>
      <c r="DS18" s="160"/>
      <c r="DT18" s="160"/>
      <c r="DU18" s="160" t="s">
        <v>671</v>
      </c>
      <c r="DV18" s="160"/>
      <c r="DW18" s="160"/>
      <c r="DX18" s="160"/>
      <c r="DY18" s="160"/>
      <c r="DZ18" s="160"/>
      <c r="EA18" s="160"/>
      <c r="EB18" s="160" t="s">
        <v>678</v>
      </c>
      <c r="EC18" s="160" t="s">
        <v>681</v>
      </c>
      <c r="ED18" s="160"/>
      <c r="EE18" s="160">
        <v>1200</v>
      </c>
      <c r="EF18" s="160">
        <v>600</v>
      </c>
      <c r="EG18" s="160"/>
      <c r="EH18" s="160"/>
      <c r="EI18" s="160" t="s">
        <v>683</v>
      </c>
      <c r="EJ18" s="160"/>
      <c r="EK18" s="160"/>
      <c r="EL18" s="160"/>
      <c r="EM18" s="160"/>
      <c r="EN18" s="160"/>
      <c r="EO18" s="327" t="s">
        <v>846</v>
      </c>
      <c r="EP18" s="327" t="s">
        <v>159</v>
      </c>
      <c r="EQ18" s="327" t="s">
        <v>859</v>
      </c>
      <c r="ER18" s="1151">
        <v>1600</v>
      </c>
      <c r="ES18" s="349"/>
      <c r="ET18" s="1307"/>
      <c r="EU18" s="1307"/>
      <c r="EV18" s="487" t="s">
        <v>911</v>
      </c>
      <c r="EW18" s="160"/>
      <c r="EX18" s="160"/>
      <c r="EY18" s="160"/>
    </row>
    <row r="19" spans="1:155" ht="14.25" customHeight="1">
      <c r="A19" s="7" t="s">
        <v>447</v>
      </c>
      <c r="B19" s="21" t="s">
        <v>443</v>
      </c>
      <c r="C19" s="22" t="s">
        <v>3</v>
      </c>
      <c r="D19" s="23" t="s">
        <v>23</v>
      </c>
      <c r="E19" s="21" t="s">
        <v>23</v>
      </c>
      <c r="F19" s="21">
        <v>26</v>
      </c>
      <c r="G19" s="6"/>
      <c r="H19" s="24"/>
      <c r="I19" s="25" t="s">
        <v>47</v>
      </c>
      <c r="J19" s="26" t="s">
        <v>386</v>
      </c>
      <c r="K19" s="26" t="s">
        <v>891</v>
      </c>
      <c r="L19" s="26" t="s">
        <v>104</v>
      </c>
      <c r="M19" s="26" t="s">
        <v>105</v>
      </c>
      <c r="N19" s="26" t="s">
        <v>175</v>
      </c>
      <c r="O19" s="26" t="s">
        <v>254</v>
      </c>
      <c r="P19" s="26" t="s">
        <v>163</v>
      </c>
      <c r="Q19" s="26" t="s">
        <v>167</v>
      </c>
      <c r="R19" s="26" t="s">
        <v>172</v>
      </c>
      <c r="S19" s="26"/>
      <c r="T19" s="26"/>
      <c r="U19" s="26"/>
      <c r="V19" s="26"/>
      <c r="W19" s="26"/>
      <c r="X19" s="54"/>
      <c r="Y19" s="51"/>
      <c r="Z19" s="26"/>
      <c r="AA19" s="26"/>
      <c r="AB19" s="26"/>
      <c r="AC19" s="26"/>
      <c r="AD19" s="26"/>
      <c r="AE19" s="26"/>
      <c r="AF19" s="54"/>
      <c r="AG19" s="51"/>
      <c r="AH19" s="26"/>
      <c r="AI19" s="26"/>
      <c r="AJ19" s="27"/>
      <c r="AK19" s="25"/>
      <c r="AL19" s="26"/>
      <c r="AM19" s="26"/>
      <c r="AN19" s="54"/>
      <c r="AO19" s="61"/>
      <c r="AP19" s="61"/>
      <c r="AQ19" s="61"/>
      <c r="AR19" s="61"/>
      <c r="AS19" s="51" t="s">
        <v>43</v>
      </c>
      <c r="AT19" s="27"/>
      <c r="AU19" s="51" t="s">
        <v>103</v>
      </c>
      <c r="AV19" s="27"/>
      <c r="AW19" s="51" t="s">
        <v>104</v>
      </c>
      <c r="AX19" s="27"/>
      <c r="AY19" s="130" t="str">
        <f t="shared" si="13"/>
        <v xml:space="preserve"> - </v>
      </c>
      <c r="AZ19" s="131" t="str">
        <f t="shared" si="13"/>
        <v xml:space="preserve"> - </v>
      </c>
      <c r="BA19" s="131" t="str">
        <f t="shared" si="13"/>
        <v xml:space="preserve"> - </v>
      </c>
      <c r="BB19" s="131" t="str">
        <f t="shared" si="13"/>
        <v xml:space="preserve"> - </v>
      </c>
      <c r="BC19" s="127" t="str">
        <f t="shared" si="8"/>
        <v xml:space="preserve"> - </v>
      </c>
      <c r="BD19" s="102" t="str">
        <f t="shared" si="9"/>
        <v xml:space="preserve"> - </v>
      </c>
      <c r="BE19" s="103" t="str">
        <f t="shared" si="10"/>
        <v xml:space="preserve"> - </v>
      </c>
      <c r="BF19" s="103" t="str">
        <f t="shared" si="11"/>
        <v xml:space="preserve"> - </v>
      </c>
      <c r="BG19" s="104" t="str">
        <f t="shared" si="12"/>
        <v xml:space="preserve"> - </v>
      </c>
      <c r="BH19" s="61"/>
      <c r="BI19" s="61"/>
      <c r="BJ19" s="51"/>
      <c r="BK19" s="61"/>
      <c r="BL19" s="61"/>
      <c r="BM19" s="162">
        <v>700</v>
      </c>
      <c r="BN19" s="162"/>
      <c r="BO19" s="162"/>
      <c r="BP19" s="160"/>
      <c r="BQ19" s="160"/>
      <c r="BR19" s="160"/>
      <c r="BS19" s="160"/>
      <c r="BT19" s="162"/>
      <c r="BU19" s="162"/>
      <c r="BV19" s="162" t="s">
        <v>341</v>
      </c>
      <c r="BW19" s="162"/>
      <c r="BX19" s="162"/>
      <c r="BY19" s="162" t="s">
        <v>578</v>
      </c>
      <c r="BZ19" s="162"/>
      <c r="CA19" s="162"/>
      <c r="CB19" s="162"/>
      <c r="CC19" s="162"/>
      <c r="CD19" s="162"/>
      <c r="CE19" s="162"/>
      <c r="CF19" s="162"/>
      <c r="CG19" s="162"/>
      <c r="CH19" s="162"/>
      <c r="CI19" s="162" t="s">
        <v>564</v>
      </c>
      <c r="CJ19" s="162" t="s">
        <v>326</v>
      </c>
      <c r="CK19" s="162" t="s">
        <v>522</v>
      </c>
      <c r="CL19" s="162" t="s">
        <v>523</v>
      </c>
      <c r="CM19" s="162" t="s">
        <v>524</v>
      </c>
      <c r="CN19" s="162">
        <v>1262</v>
      </c>
      <c r="CO19" s="162">
        <v>700</v>
      </c>
      <c r="CP19" s="162">
        <v>1262</v>
      </c>
      <c r="CQ19" s="162" t="s">
        <v>808</v>
      </c>
      <c r="CR19" s="162"/>
      <c r="CS19" s="162"/>
      <c r="CT19" s="161"/>
      <c r="CU19" s="161"/>
      <c r="CV19" s="161" t="s">
        <v>348</v>
      </c>
      <c r="CW19" s="161" t="s">
        <v>375</v>
      </c>
      <c r="CX19" s="161" t="s">
        <v>381</v>
      </c>
      <c r="CY19" s="161" t="s">
        <v>490</v>
      </c>
      <c r="CZ19" s="161" t="s">
        <v>491</v>
      </c>
      <c r="DA19" s="161" t="s">
        <v>492</v>
      </c>
      <c r="DB19" s="152" t="s">
        <v>43</v>
      </c>
      <c r="DC19" s="328"/>
      <c r="DD19" s="161"/>
      <c r="DE19" s="334" t="s">
        <v>271</v>
      </c>
      <c r="DF19" s="334" t="s">
        <v>685</v>
      </c>
      <c r="DG19" s="487" t="s">
        <v>497</v>
      </c>
      <c r="DH19" s="162" t="s">
        <v>481</v>
      </c>
      <c r="DI19" s="162" t="s">
        <v>482</v>
      </c>
      <c r="DJ19" s="162" t="s">
        <v>483</v>
      </c>
      <c r="DK19" s="162"/>
      <c r="DL19" s="162"/>
      <c r="DM19" s="160"/>
      <c r="DN19" s="160"/>
      <c r="DO19" s="160"/>
      <c r="DP19" s="160"/>
      <c r="DQ19" s="160"/>
      <c r="DR19" s="160"/>
      <c r="DS19" s="160"/>
      <c r="DT19" s="160"/>
      <c r="DU19" s="160" t="s">
        <v>672</v>
      </c>
      <c r="DV19" s="160"/>
      <c r="DW19" s="160"/>
      <c r="DX19" s="160"/>
      <c r="DY19" s="160"/>
      <c r="DZ19" s="160"/>
      <c r="EA19" s="160"/>
      <c r="EB19" s="160"/>
      <c r="EC19" s="160"/>
      <c r="ED19" s="160"/>
      <c r="EE19" s="160"/>
      <c r="EF19" s="160"/>
      <c r="EG19" s="160"/>
      <c r="EH19" s="160"/>
      <c r="EI19" s="160"/>
      <c r="EJ19" s="160"/>
      <c r="EK19" s="160"/>
      <c r="EL19" s="160"/>
      <c r="EM19" s="160"/>
      <c r="EN19" s="160"/>
      <c r="EO19" s="1136" t="s">
        <v>827</v>
      </c>
      <c r="EP19" s="1136" t="s">
        <v>828</v>
      </c>
      <c r="EQ19" s="1136" t="s">
        <v>829</v>
      </c>
      <c r="ER19" s="1152">
        <v>875</v>
      </c>
      <c r="ES19" s="1147"/>
      <c r="ET19" s="1307"/>
      <c r="EU19" s="1307"/>
      <c r="EV19" s="487" t="s">
        <v>913</v>
      </c>
      <c r="EW19" s="160"/>
      <c r="EX19" s="160"/>
      <c r="EY19" s="160" t="s">
        <v>955</v>
      </c>
    </row>
    <row r="20" spans="1:155" ht="14.25" customHeight="1" thickBot="1">
      <c r="A20" s="76" t="s">
        <v>0</v>
      </c>
      <c r="B20" s="77" t="s">
        <v>443</v>
      </c>
      <c r="C20" s="78" t="s">
        <v>4</v>
      </c>
      <c r="D20" s="79"/>
      <c r="E20" s="80"/>
      <c r="F20" s="80"/>
      <c r="G20" s="81"/>
      <c r="H20" s="82"/>
      <c r="I20" s="108">
        <f t="shared" ref="I20:N20" si="14">SUBTOTAL(9,I16:I19)</f>
        <v>0</v>
      </c>
      <c r="J20" s="108">
        <f t="shared" si="14"/>
        <v>0</v>
      </c>
      <c r="K20" s="108">
        <f t="shared" si="14"/>
        <v>0</v>
      </c>
      <c r="L20" s="108">
        <f t="shared" si="14"/>
        <v>0</v>
      </c>
      <c r="M20" s="108">
        <f t="shared" si="14"/>
        <v>0</v>
      </c>
      <c r="N20" s="108">
        <f t="shared" si="14"/>
        <v>0</v>
      </c>
      <c r="O20" s="108"/>
      <c r="P20" s="108">
        <f t="shared" ref="P20:AO20" si="15">SUBTOTAL(9,P16:P19)</f>
        <v>0</v>
      </c>
      <c r="Q20" s="108">
        <f t="shared" si="15"/>
        <v>0</v>
      </c>
      <c r="R20" s="108">
        <f t="shared" si="15"/>
        <v>0</v>
      </c>
      <c r="S20" s="108">
        <f t="shared" si="15"/>
        <v>0</v>
      </c>
      <c r="T20" s="108">
        <f t="shared" si="15"/>
        <v>0</v>
      </c>
      <c r="U20" s="108">
        <f t="shared" si="15"/>
        <v>0</v>
      </c>
      <c r="V20" s="108">
        <f t="shared" si="15"/>
        <v>0</v>
      </c>
      <c r="W20" s="108">
        <f t="shared" si="15"/>
        <v>0</v>
      </c>
      <c r="X20" s="108">
        <f t="shared" si="15"/>
        <v>0</v>
      </c>
      <c r="Y20" s="109">
        <f t="shared" si="15"/>
        <v>0</v>
      </c>
      <c r="Z20" s="108">
        <f t="shared" si="15"/>
        <v>0</v>
      </c>
      <c r="AA20" s="108">
        <f t="shared" si="15"/>
        <v>0</v>
      </c>
      <c r="AB20" s="108">
        <f t="shared" si="15"/>
        <v>0</v>
      </c>
      <c r="AC20" s="108">
        <f t="shared" si="15"/>
        <v>0</v>
      </c>
      <c r="AD20" s="108">
        <f t="shared" si="15"/>
        <v>0</v>
      </c>
      <c r="AE20" s="108">
        <f t="shared" si="15"/>
        <v>0</v>
      </c>
      <c r="AF20" s="108">
        <f t="shared" si="15"/>
        <v>0</v>
      </c>
      <c r="AG20" s="109">
        <f t="shared" si="15"/>
        <v>0</v>
      </c>
      <c r="AH20" s="108">
        <f t="shared" si="15"/>
        <v>0</v>
      </c>
      <c r="AI20" s="108">
        <f t="shared" si="15"/>
        <v>0</v>
      </c>
      <c r="AJ20" s="110">
        <f t="shared" si="15"/>
        <v>0</v>
      </c>
      <c r="AK20" s="83">
        <f t="shared" si="15"/>
        <v>0</v>
      </c>
      <c r="AL20" s="108">
        <f t="shared" si="15"/>
        <v>0</v>
      </c>
      <c r="AM20" s="108">
        <f t="shared" si="15"/>
        <v>0</v>
      </c>
      <c r="AN20" s="112">
        <f t="shared" si="15"/>
        <v>0</v>
      </c>
      <c r="AO20" s="111">
        <f t="shared" si="15"/>
        <v>0</v>
      </c>
      <c r="AP20" s="145" t="e">
        <f>SUBTOTAL(9,AP16:AP19)-#REF!</f>
        <v>#REF!</v>
      </c>
      <c r="AQ20" s="111">
        <f>SUBTOTAL(9,AQ16:AQ19)</f>
        <v>0</v>
      </c>
      <c r="AR20" s="145" t="e">
        <f>SUBTOTAL(9,AR16:AR19)-#REF!</f>
        <v>#REF!</v>
      </c>
      <c r="AS20" s="145">
        <f t="shared" ref="AS20:BC20" si="16">SUBTOTAL(9,AS16:AS19)</f>
        <v>0</v>
      </c>
      <c r="AT20" s="145">
        <f t="shared" si="16"/>
        <v>0</v>
      </c>
      <c r="AU20" s="145">
        <f t="shared" si="16"/>
        <v>0</v>
      </c>
      <c r="AV20" s="145">
        <f t="shared" si="16"/>
        <v>0</v>
      </c>
      <c r="AW20" s="145">
        <f t="shared" si="16"/>
        <v>0</v>
      </c>
      <c r="AX20" s="145">
        <f t="shared" si="16"/>
        <v>0</v>
      </c>
      <c r="AY20" s="132">
        <f t="shared" si="16"/>
        <v>0</v>
      </c>
      <c r="AZ20" s="133">
        <f t="shared" si="16"/>
        <v>0</v>
      </c>
      <c r="BA20" s="133">
        <f t="shared" si="16"/>
        <v>0</v>
      </c>
      <c r="BB20" s="133">
        <f t="shared" si="16"/>
        <v>0</v>
      </c>
      <c r="BC20" s="134">
        <f t="shared" si="16"/>
        <v>0</v>
      </c>
      <c r="BD20" s="113" t="str">
        <f>IF(ISNUMBER(BA20/AZ20),BA20/AZ20," - ")</f>
        <v xml:space="preserve"> - </v>
      </c>
      <c r="BE20" s="114" t="str">
        <f>IF(ISNUMBER(BB20/BA20),BB20/BA20, " - ")</f>
        <v xml:space="preserve"> - </v>
      </c>
      <c r="BF20" s="114" t="str">
        <f>IF(ISNUMBER(BC20/BA20),BC20/BA20, " - ")</f>
        <v xml:space="preserve"> - </v>
      </c>
      <c r="BG20" s="115" t="str">
        <f>IF(ISNUMBER((AY20+AZ20)/BA20),(AY20+AZ20)/BA20," - ")</f>
        <v xml:space="preserve"> - </v>
      </c>
      <c r="BH20" s="145" t="e">
        <f>SUBTOTAL(9,BH16:BH19)-#REF!</f>
        <v>#REF!</v>
      </c>
      <c r="BI20" s="145" t="e">
        <f>SUBTOTAL(9,BI16:BI19)-#REF!</f>
        <v>#REF!</v>
      </c>
      <c r="BJ20" s="109"/>
      <c r="BK20" s="111">
        <f>SUBTOTAL(9,BK16:BK19)</f>
        <v>0</v>
      </c>
      <c r="BL20" s="111"/>
      <c r="BM20" s="156">
        <f>SUBTOTAL(9,BM16:BM19)</f>
        <v>11650</v>
      </c>
      <c r="BN20" s="156"/>
      <c r="BO20" s="156"/>
      <c r="BP20" s="156"/>
      <c r="BQ20" s="156"/>
      <c r="BR20" s="156"/>
      <c r="BS20" s="156"/>
      <c r="BT20" s="156"/>
      <c r="BU20" s="156"/>
      <c r="BV20" s="156"/>
      <c r="BW20" s="156"/>
      <c r="BX20" s="156"/>
      <c r="BY20" s="156"/>
      <c r="BZ20" s="156"/>
      <c r="CA20" s="156"/>
      <c r="CB20" s="156"/>
      <c r="CC20" s="156"/>
      <c r="CD20" s="156"/>
      <c r="CE20" s="156"/>
      <c r="CF20" s="156"/>
      <c r="CG20" s="156"/>
      <c r="CH20" s="156"/>
      <c r="CI20" s="156"/>
      <c r="CJ20" s="156"/>
      <c r="CK20" s="156"/>
      <c r="CL20" s="156"/>
      <c r="CM20" s="156"/>
      <c r="CN20" s="156"/>
      <c r="CO20" s="156"/>
      <c r="CP20" s="156"/>
      <c r="CQ20" s="156"/>
      <c r="CR20" s="156"/>
      <c r="CS20" s="156"/>
      <c r="CT20" s="156"/>
      <c r="CU20" s="156"/>
      <c r="CV20" s="156"/>
      <c r="CW20" s="156"/>
      <c r="CX20" s="156"/>
      <c r="CY20" s="156"/>
      <c r="CZ20" s="156"/>
      <c r="DA20" s="156"/>
      <c r="DB20" s="329"/>
      <c r="DC20" s="330"/>
      <c r="DD20" s="331"/>
      <c r="DE20" s="331"/>
      <c r="DF20" s="156"/>
      <c r="DG20" s="156"/>
      <c r="DH20" s="156"/>
      <c r="DI20" s="156"/>
      <c r="DJ20" s="156"/>
      <c r="DK20" s="156"/>
      <c r="DL20" s="156"/>
      <c r="DM20" s="156"/>
      <c r="DN20" s="156"/>
      <c r="DO20" s="156"/>
      <c r="DP20" s="156"/>
      <c r="DQ20" s="156"/>
      <c r="DR20" s="156"/>
      <c r="DS20" s="156"/>
      <c r="DT20" s="156"/>
      <c r="DU20" s="156"/>
      <c r="DV20" s="156"/>
      <c r="DW20" s="156"/>
      <c r="DX20" s="156"/>
      <c r="DY20" s="156"/>
      <c r="DZ20" s="156"/>
      <c r="EA20" s="156"/>
      <c r="EB20" s="156"/>
      <c r="EC20" s="156"/>
      <c r="ED20" s="156"/>
      <c r="EE20" s="156"/>
      <c r="EF20" s="156"/>
      <c r="EG20" s="156"/>
      <c r="EH20" s="156"/>
      <c r="EI20" s="156"/>
      <c r="EJ20" s="156"/>
      <c r="EK20" s="156"/>
      <c r="EL20" s="156"/>
      <c r="EM20" s="156"/>
      <c r="EN20" s="156"/>
      <c r="EO20" s="329"/>
      <c r="EP20" s="329"/>
      <c r="EQ20" s="329"/>
      <c r="ER20" s="156">
        <f>AVERAGE(ER16:ER19)</f>
        <v>1158.3333333333333</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16">
        <f t="shared" ref="I21:N21" si="17">SUBTOTAL(9,I9:I20)</f>
        <v>0</v>
      </c>
      <c r="J21" s="116">
        <f t="shared" si="17"/>
        <v>0</v>
      </c>
      <c r="K21" s="116">
        <f t="shared" si="17"/>
        <v>0</v>
      </c>
      <c r="L21" s="116">
        <f t="shared" si="17"/>
        <v>0</v>
      </c>
      <c r="M21" s="116">
        <f t="shared" si="17"/>
        <v>0</v>
      </c>
      <c r="N21" s="116">
        <f t="shared" si="17"/>
        <v>0</v>
      </c>
      <c r="O21" s="116"/>
      <c r="P21" s="116">
        <f t="shared" ref="P21:AR21" si="18">SUBTOTAL(9,P9:P20)</f>
        <v>0</v>
      </c>
      <c r="Q21" s="116">
        <f t="shared" si="18"/>
        <v>0</v>
      </c>
      <c r="R21" s="116">
        <f t="shared" si="18"/>
        <v>0</v>
      </c>
      <c r="S21" s="116">
        <f t="shared" si="18"/>
        <v>0</v>
      </c>
      <c r="T21" s="116">
        <f t="shared" si="18"/>
        <v>0</v>
      </c>
      <c r="U21" s="116">
        <f t="shared" si="18"/>
        <v>0</v>
      </c>
      <c r="V21" s="116">
        <f t="shared" si="18"/>
        <v>0</v>
      </c>
      <c r="W21" s="116">
        <f t="shared" si="18"/>
        <v>0</v>
      </c>
      <c r="X21" s="116">
        <f t="shared" si="18"/>
        <v>0</v>
      </c>
      <c r="Y21" s="116">
        <f t="shared" si="18"/>
        <v>0</v>
      </c>
      <c r="Z21" s="116">
        <f t="shared" si="18"/>
        <v>0</v>
      </c>
      <c r="AA21" s="116">
        <f t="shared" si="18"/>
        <v>0</v>
      </c>
      <c r="AB21" s="116">
        <f t="shared" si="18"/>
        <v>0</v>
      </c>
      <c r="AC21" s="116">
        <f t="shared" si="18"/>
        <v>0</v>
      </c>
      <c r="AD21" s="116">
        <f t="shared" si="18"/>
        <v>0</v>
      </c>
      <c r="AE21" s="116">
        <f t="shared" si="18"/>
        <v>0</v>
      </c>
      <c r="AF21" s="116">
        <f t="shared" si="18"/>
        <v>0</v>
      </c>
      <c r="AG21" s="116">
        <f t="shared" si="18"/>
        <v>0</v>
      </c>
      <c r="AH21" s="116">
        <f t="shared" si="18"/>
        <v>0</v>
      </c>
      <c r="AI21" s="116">
        <f t="shared" si="18"/>
        <v>0</v>
      </c>
      <c r="AJ21" s="116">
        <f t="shared" si="18"/>
        <v>0</v>
      </c>
      <c r="AK21" s="116">
        <f t="shared" si="18"/>
        <v>0</v>
      </c>
      <c r="AL21" s="116">
        <f t="shared" si="18"/>
        <v>0</v>
      </c>
      <c r="AM21" s="116">
        <f t="shared" si="18"/>
        <v>0</v>
      </c>
      <c r="AN21" s="117">
        <f t="shared" si="18"/>
        <v>0</v>
      </c>
      <c r="AO21" s="118">
        <f t="shared" si="18"/>
        <v>0</v>
      </c>
      <c r="AP21" s="118">
        <f t="shared" si="18"/>
        <v>0</v>
      </c>
      <c r="AQ21" s="118">
        <f t="shared" si="18"/>
        <v>0</v>
      </c>
      <c r="AR21" s="118">
        <f t="shared" si="18"/>
        <v>0</v>
      </c>
      <c r="AS21" s="336"/>
      <c r="AT21" s="217"/>
      <c r="AU21" s="336"/>
      <c r="AV21" s="217"/>
      <c r="AW21" s="216"/>
      <c r="AX21" s="217"/>
      <c r="AY21" s="135">
        <f>SUBTOTAL(9,AY9:AY20)</f>
        <v>0</v>
      </c>
      <c r="AZ21" s="136">
        <f>SUBTOTAL(9,AZ9:AZ20)</f>
        <v>0</v>
      </c>
      <c r="BA21" s="136">
        <f>SUBTOTAL(9,BA9:BA20)</f>
        <v>0</v>
      </c>
      <c r="BB21" s="136">
        <f>SUBTOTAL(9,BB9:BB20)</f>
        <v>0</v>
      </c>
      <c r="BC21" s="137">
        <f>SUBTOTAL(9,BC9:BC20)</f>
        <v>0</v>
      </c>
      <c r="BD21" s="119" t="str">
        <f>IF(ISNUMBER(BA21/AZ21),BA21/AZ21," - ")</f>
        <v xml:space="preserve"> - </v>
      </c>
      <c r="BE21" s="120" t="str">
        <f>IF(ISNUMBER(BB21/BA21),BB21/BA21, " - ")</f>
        <v xml:space="preserve"> - </v>
      </c>
      <c r="BF21" s="120" t="str">
        <f>IF(ISNUMBER(BC21/BA21),BC21/BA21, " - ")</f>
        <v xml:space="preserve"> - </v>
      </c>
      <c r="BG21" s="121" t="str">
        <f>IF(ISNUMBER((AY21+AZ21)/BA21),(AY21+AZ21)/BA21," - ")</f>
        <v xml:space="preserve"> - </v>
      </c>
      <c r="BH21" s="118">
        <f>SUBTOTAL(9,BH9:BH20)</f>
        <v>0</v>
      </c>
      <c r="BI21" s="118">
        <f>SUBTOTAL(9,BI9:BI20)</f>
        <v>0</v>
      </c>
      <c r="BJ21" s="118"/>
      <c r="BK21" s="118">
        <f>SUBTOTAL(9,BK9:BK20)</f>
        <v>0</v>
      </c>
      <c r="BL21" s="118"/>
      <c r="BM21" s="158">
        <f>SUBTOTAL(9,BM9:BM20)</f>
        <v>13750</v>
      </c>
      <c r="BN21" s="158"/>
      <c r="BO21" s="158"/>
      <c r="BP21" s="158"/>
      <c r="BQ21" s="158"/>
      <c r="BR21" s="158"/>
      <c r="BS21" s="158"/>
      <c r="BT21" s="158"/>
      <c r="BU21" s="158"/>
      <c r="BV21" s="158"/>
      <c r="BW21" s="158"/>
      <c r="BX21" s="158"/>
      <c r="BY21" s="158"/>
      <c r="BZ21" s="158"/>
      <c r="CA21" s="158"/>
      <c r="CB21" s="158"/>
      <c r="CC21" s="158"/>
      <c r="CD21" s="158"/>
      <c r="CE21" s="158"/>
      <c r="CF21" s="158"/>
      <c r="CG21" s="158"/>
      <c r="CH21" s="158"/>
      <c r="CI21" s="158"/>
      <c r="CJ21" s="158"/>
      <c r="CK21" s="158"/>
      <c r="CL21" s="158"/>
      <c r="CM21" s="158"/>
      <c r="CN21" s="158"/>
      <c r="CO21" s="158"/>
      <c r="CP21" s="158"/>
      <c r="CQ21" s="158"/>
      <c r="CR21" s="158"/>
      <c r="CS21" s="158"/>
      <c r="CT21" s="158"/>
      <c r="CU21" s="158"/>
      <c r="CV21" s="158"/>
      <c r="CW21" s="158"/>
      <c r="CX21" s="158"/>
      <c r="CY21" s="158"/>
      <c r="CZ21" s="158"/>
      <c r="DA21" s="158"/>
      <c r="DB21" s="336"/>
      <c r="DC21" s="337"/>
      <c r="DD21" s="336"/>
      <c r="DE21" s="336"/>
      <c r="DF21" s="158"/>
      <c r="DG21" s="158"/>
      <c r="DH21" s="158"/>
      <c r="DI21" s="158"/>
      <c r="DJ21" s="158"/>
      <c r="DK21" s="158"/>
      <c r="DL21" s="158"/>
      <c r="DM21" s="158"/>
      <c r="DN21" s="158"/>
      <c r="DO21" s="158"/>
      <c r="DP21" s="158"/>
      <c r="DQ21" s="158"/>
      <c r="DR21" s="158"/>
      <c r="DS21" s="158"/>
      <c r="DT21" s="158"/>
      <c r="DU21" s="158"/>
      <c r="DV21" s="158"/>
      <c r="DW21" s="158"/>
      <c r="DX21" s="158"/>
      <c r="DY21" s="158"/>
      <c r="DZ21" s="158"/>
      <c r="EA21" s="158"/>
      <c r="EB21" s="158"/>
      <c r="EC21" s="158"/>
      <c r="ED21" s="158"/>
      <c r="EE21" s="158"/>
      <c r="EF21" s="158"/>
      <c r="EG21" s="158"/>
      <c r="EH21" s="158"/>
      <c r="EI21" s="158"/>
      <c r="EJ21" s="158"/>
      <c r="EK21" s="158"/>
      <c r="EL21" s="158"/>
      <c r="EM21" s="158"/>
      <c r="EN21" s="158"/>
      <c r="EO21" s="336"/>
      <c r="EP21" s="336"/>
      <c r="EQ21" s="336"/>
      <c r="ER21" s="156">
        <f>AVERAGE(ER9:ER20)</f>
        <v>1128.2333333333333</v>
      </c>
      <c r="ES21" s="156">
        <f>AVERAGE(ES9:ES20)</f>
        <v>0</v>
      </c>
      <c r="ET21" s="156"/>
      <c r="EU21" s="156"/>
      <c r="EV21" s="156">
        <f>AVERAGE(EV9:EV20)</f>
        <v>0</v>
      </c>
      <c r="EW21" s="158"/>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X180/2756dTnb9wmBnvkEgCy+cN8IR33yO5ANwm1BuRI/qNbNmpNsvxCxWwEvHSieILIixoNXIx+fE/GWsDt0A==" saltValue="zfN8A7miansLCH3yx38sB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7:EA19 DM16:DZ16 BH12:BI13 BJ11:BJ13 BV11:BX11 CA11:CD11 CS12:CS13 AO10 AQ10 AO12:AR13 Y10:AB10 S9:X13 AC10:AN13 Y13:AB13 BK12:CJ13 AC9:AX9 CT11:DF13 CK11:CR13 BJ16:BJ19 CS16:CS18 AQ18 AO16:AR16 S16:AN19 BT17:BX17 CM16:CP18 CK16:CL17 BK16:CJ16 CQ16:CR19 BK18:BX18 BZ18:CL18 DH16:DL18 EB16:EG19 EH16:EI16 EH17:EK19 CT16:DF19 BJ10:DF10 EN13 EO9 EO10:EQ13 EO16:EQ19 ES10:ES13 EV9:EV13 EV16:EV19 BJ9:DL9 DF10:EM13 EN10:EN11 EW10:EY13">
    <cfRule type="cellIs" dxfId="1073" priority="2170" stopIfTrue="1" operator="equal">
      <formula>$A$33</formula>
    </cfRule>
  </conditionalFormatting>
  <conditionalFormatting sqref="BD15:BG15 I8:DF8 DF1 I20:BC20 DH8:DJ8 BH14:EA15 BH20:EK20 I14:BC15 I21:EN21 EO8:EQ8 EO14:EQ15 EO20:EQ21 EV15 EV20:EW20 EW21:EY21">
    <cfRule type="cellIs" dxfId="1072" priority="2171" stopIfTrue="1" operator="equal">
      <formula>$A$33</formula>
    </cfRule>
  </conditionalFormatting>
  <conditionalFormatting sqref="BY11:BZ11 CE11:CJ11 BY13 CO11 AR10 AP10 Y11:AB12 I9:R9 BK11:BU11 CS11:DF11 AO11:AR11 I11:R13 BH17:BI19 CO17 AP18 AR18 AP17:AR17 AO17:AO19 BK17:CJ17 CS17:DE17 I16:R19 AP19:AR19 BK19:DG19 Y9:AB9 EO11:EQ11 EO17:EQ17 EO19:EQ19 ES19 EV17 EV19 BH10:BI11">
    <cfRule type="cellIs" dxfId="1071" priority="2172" stopIfTrue="1" operator="equal">
      <formula>$A$32</formula>
    </cfRule>
  </conditionalFormatting>
  <conditionalFormatting sqref="DF1">
    <cfRule type="cellIs" dxfId="1070" priority="1988" stopIfTrue="1" operator="equal">
      <formula>$A$33</formula>
    </cfRule>
  </conditionalFormatting>
  <conditionalFormatting sqref="DF1">
    <cfRule type="cellIs" dxfId="1069" priority="1987" stopIfTrue="1" operator="equal">
      <formula>$A$33</formula>
    </cfRule>
  </conditionalFormatting>
  <conditionalFormatting sqref="DF20">
    <cfRule type="cellIs" dxfId="1068" priority="1985" stopIfTrue="1" operator="equal">
      <formula>$A$33</formula>
    </cfRule>
  </conditionalFormatting>
  <conditionalFormatting sqref="DF14:DF15">
    <cfRule type="cellIs" dxfId="1067" priority="1972" stopIfTrue="1" operator="equal">
      <formula>$A$33</formula>
    </cfRule>
  </conditionalFormatting>
  <conditionalFormatting sqref="DF14:DF15">
    <cfRule type="cellIs" dxfId="1066" priority="1969" stopIfTrue="1" operator="equal">
      <formula>$A$33</formula>
    </cfRule>
  </conditionalFormatting>
  <conditionalFormatting sqref="AS14:AS15">
    <cfRule type="cellIs" dxfId="1065" priority="1954" stopIfTrue="1" operator="equal">
      <formula>$A$33</formula>
    </cfRule>
  </conditionalFormatting>
  <conditionalFormatting sqref="AS14:AS15">
    <cfRule type="cellIs" dxfId="1064" priority="1951" stopIfTrue="1" operator="equal">
      <formula>$A$33</formula>
    </cfRule>
  </conditionalFormatting>
  <conditionalFormatting sqref="AU14:AU15">
    <cfRule type="cellIs" dxfId="1063" priority="1868" stopIfTrue="1" operator="equal">
      <formula>$A$33</formula>
    </cfRule>
  </conditionalFormatting>
  <conditionalFormatting sqref="AU14:AU15">
    <cfRule type="cellIs" dxfId="1062" priority="1865" stopIfTrue="1" operator="equal">
      <formula>$A$33</formula>
    </cfRule>
  </conditionalFormatting>
  <conditionalFormatting sqref="DG8">
    <cfRule type="cellIs" dxfId="1061" priority="843" stopIfTrue="1" operator="equal">
      <formula>$A$33</formula>
    </cfRule>
  </conditionalFormatting>
  <conditionalFormatting sqref="DK8">
    <cfRule type="cellIs" dxfId="1060" priority="838" stopIfTrue="1" operator="equal">
      <formula>$A$33</formula>
    </cfRule>
  </conditionalFormatting>
  <conditionalFormatting sqref="DL8">
    <cfRule type="cellIs" dxfId="1059" priority="834" stopIfTrue="1" operator="equal">
      <formula>$A$33</formula>
    </cfRule>
  </conditionalFormatting>
  <conditionalFormatting sqref="DM8:DX8">
    <cfRule type="cellIs" dxfId="1058" priority="816" stopIfTrue="1" operator="equal">
      <formula>$A$33</formula>
    </cfRule>
  </conditionalFormatting>
  <conditionalFormatting sqref="DM9:DU9">
    <cfRule type="cellIs" dxfId="1057" priority="814" stopIfTrue="1" operator="equal">
      <formula>$A$33</formula>
    </cfRule>
  </conditionalFormatting>
  <conditionalFormatting sqref="DV9">
    <cfRule type="cellIs" dxfId="1056" priority="799" stopIfTrue="1" operator="equal">
      <formula>$A$33</formula>
    </cfRule>
  </conditionalFormatting>
  <conditionalFormatting sqref="DW9">
    <cfRule type="cellIs" dxfId="1055" priority="793" stopIfTrue="1" operator="equal">
      <formula>$A$33</formula>
    </cfRule>
  </conditionalFormatting>
  <conditionalFormatting sqref="DX9">
    <cfRule type="cellIs" dxfId="1054" priority="787" stopIfTrue="1" operator="equal">
      <formula>$A$33</formula>
    </cfRule>
  </conditionalFormatting>
  <conditionalFormatting sqref="DY8:EJ8">
    <cfRule type="cellIs" dxfId="1053" priority="782" stopIfTrue="1" operator="equal">
      <formula>$A$33</formula>
    </cfRule>
  </conditionalFormatting>
  <conditionalFormatting sqref="DY9">
    <cfRule type="cellIs" dxfId="1052" priority="780" stopIfTrue="1" operator="equal">
      <formula>$A$33</formula>
    </cfRule>
  </conditionalFormatting>
  <conditionalFormatting sqref="DZ9">
    <cfRule type="cellIs" dxfId="1051" priority="774" stopIfTrue="1" operator="equal">
      <formula>$A$33</formula>
    </cfRule>
  </conditionalFormatting>
  <conditionalFormatting sqref="EA9">
    <cfRule type="cellIs" dxfId="1050" priority="768" stopIfTrue="1" operator="equal">
      <formula>$A$33</formula>
    </cfRule>
  </conditionalFormatting>
  <conditionalFormatting sqref="AS10:AX13">
    <cfRule type="cellIs" dxfId="1049" priority="756" stopIfTrue="1" operator="equal">
      <formula>$A$31</formula>
    </cfRule>
  </conditionalFormatting>
  <conditionalFormatting sqref="BH9:BI9">
    <cfRule type="cellIs" dxfId="1048" priority="727" stopIfTrue="1" operator="equal">
      <formula>$A$33</formula>
    </cfRule>
  </conditionalFormatting>
  <conditionalFormatting sqref="M10:R10">
    <cfRule type="cellIs" dxfId="1047" priority="729" stopIfTrue="1" operator="equal">
      <formula>$B$32</formula>
    </cfRule>
  </conditionalFormatting>
  <conditionalFormatting sqref="BN13:BO13">
    <cfRule type="cellIs" dxfId="1046" priority="726" stopIfTrue="1" operator="equal">
      <formula>$A$32</formula>
    </cfRule>
  </conditionalFormatting>
  <conditionalFormatting sqref="BT13:BU13">
    <cfRule type="cellIs" dxfId="1045" priority="725" stopIfTrue="1" operator="equal">
      <formula>$A$32</formula>
    </cfRule>
  </conditionalFormatting>
  <conditionalFormatting sqref="DB13">
    <cfRule type="cellIs" dxfId="1044" priority="722" stopIfTrue="1" operator="equal">
      <formula>$A$33</formula>
    </cfRule>
  </conditionalFormatting>
  <conditionalFormatting sqref="DB13">
    <cfRule type="cellIs" dxfId="1043" priority="721" stopIfTrue="1" operator="equal">
      <formula>$A$33</formula>
    </cfRule>
  </conditionalFormatting>
  <conditionalFormatting sqref="DB13">
    <cfRule type="cellIs" dxfId="1042" priority="720" stopIfTrue="1" operator="equal">
      <formula>$A$33</formula>
    </cfRule>
  </conditionalFormatting>
  <conditionalFormatting sqref="DB13">
    <cfRule type="cellIs" dxfId="1041" priority="719" stopIfTrue="1" operator="equal">
      <formula>$A$33</formula>
    </cfRule>
  </conditionalFormatting>
  <conditionalFormatting sqref="DB13">
    <cfRule type="cellIs" dxfId="1040" priority="718" stopIfTrue="1" operator="equal">
      <formula>$A$33</formula>
    </cfRule>
  </conditionalFormatting>
  <conditionalFormatting sqref="DB13">
    <cfRule type="cellIs" dxfId="1039" priority="717" stopIfTrue="1" operator="equal">
      <formula>$A$33</formula>
    </cfRule>
  </conditionalFormatting>
  <conditionalFormatting sqref="AS9:AX9">
    <cfRule type="cellIs" dxfId="1038" priority="714" stopIfTrue="1" operator="equal">
      <formula>$A$33</formula>
    </cfRule>
  </conditionalFormatting>
  <conditionalFormatting sqref="AU9">
    <cfRule type="cellIs" dxfId="1037" priority="713" stopIfTrue="1" operator="equal">
      <formula>$A$33</formula>
    </cfRule>
  </conditionalFormatting>
  <conditionalFormatting sqref="AU9">
    <cfRule type="cellIs" dxfId="1036" priority="712" stopIfTrue="1" operator="equal">
      <formula>$A$33</formula>
    </cfRule>
  </conditionalFormatting>
  <conditionalFormatting sqref="AW9">
    <cfRule type="cellIs" dxfId="1035" priority="711" stopIfTrue="1" operator="equal">
      <formula>$A$33</formula>
    </cfRule>
  </conditionalFormatting>
  <conditionalFormatting sqref="AW9">
    <cfRule type="cellIs" dxfId="1034" priority="710" stopIfTrue="1" operator="equal">
      <formula>$A$33</formula>
    </cfRule>
  </conditionalFormatting>
  <conditionalFormatting sqref="AW9">
    <cfRule type="cellIs" dxfId="1033" priority="709" stopIfTrue="1" operator="equal">
      <formula>$A$33</formula>
    </cfRule>
  </conditionalFormatting>
  <conditionalFormatting sqref="AW9">
    <cfRule type="cellIs" dxfId="1032" priority="708" stopIfTrue="1" operator="equal">
      <formula>$A$33</formula>
    </cfRule>
  </conditionalFormatting>
  <conditionalFormatting sqref="AW9">
    <cfRule type="cellIs" dxfId="1031" priority="707" stopIfTrue="1" operator="equal">
      <formula>$A$33</formula>
    </cfRule>
  </conditionalFormatting>
  <conditionalFormatting sqref="AW9">
    <cfRule type="cellIs" dxfId="1030" priority="706" stopIfTrue="1" operator="equal">
      <formula>$A$33</formula>
    </cfRule>
  </conditionalFormatting>
  <conditionalFormatting sqref="AW9">
    <cfRule type="cellIs" dxfId="1029" priority="705" stopIfTrue="1" operator="equal">
      <formula>$A$33</formula>
    </cfRule>
  </conditionalFormatting>
  <conditionalFormatting sqref="AW9">
    <cfRule type="cellIs" dxfId="1028" priority="704" stopIfTrue="1" operator="equal">
      <formula>$A$33</formula>
    </cfRule>
  </conditionalFormatting>
  <conditionalFormatting sqref="AW9">
    <cfRule type="cellIs" dxfId="1027" priority="703" stopIfTrue="1" operator="equal">
      <formula>$A$33</formula>
    </cfRule>
  </conditionalFormatting>
  <conditionalFormatting sqref="AW9">
    <cfRule type="cellIs" dxfId="1026" priority="702" stopIfTrue="1" operator="equal">
      <formula>$A$33</formula>
    </cfRule>
  </conditionalFormatting>
  <conditionalFormatting sqref="AW9">
    <cfRule type="cellIs" dxfId="1025" priority="701" stopIfTrue="1" operator="equal">
      <formula>$A$33</formula>
    </cfRule>
  </conditionalFormatting>
  <conditionalFormatting sqref="AW9">
    <cfRule type="cellIs" dxfId="1024" priority="700" stopIfTrue="1" operator="equal">
      <formula>$A$33</formula>
    </cfRule>
  </conditionalFormatting>
  <conditionalFormatting sqref="AW9">
    <cfRule type="cellIs" dxfId="1023" priority="699" stopIfTrue="1" operator="equal">
      <formula>$A$33</formula>
    </cfRule>
  </conditionalFormatting>
  <conditionalFormatting sqref="AW9">
    <cfRule type="cellIs" dxfId="1022" priority="698" stopIfTrue="1" operator="equal">
      <formula>$A$33</formula>
    </cfRule>
  </conditionalFormatting>
  <conditionalFormatting sqref="DG11">
    <cfRule type="cellIs" dxfId="1021" priority="696" stopIfTrue="1" operator="equal">
      <formula>$A$32</formula>
    </cfRule>
  </conditionalFormatting>
  <conditionalFormatting sqref="I10:L10">
    <cfRule type="cellIs" dxfId="1020" priority="691" stopIfTrue="1" operator="equal">
      <formula>$B$32</formula>
    </cfRule>
  </conditionalFormatting>
  <conditionalFormatting sqref="BH16:BI16">
    <cfRule type="cellIs" dxfId="1019" priority="689" stopIfTrue="1" operator="equal">
      <formula>$A$33</formula>
    </cfRule>
  </conditionalFormatting>
  <conditionalFormatting sqref="DB17:DE17">
    <cfRule type="cellIs" dxfId="1018" priority="686" stopIfTrue="1" operator="equal">
      <formula>$A$32</formula>
    </cfRule>
  </conditionalFormatting>
  <conditionalFormatting sqref="DB16">
    <cfRule type="cellIs" dxfId="1017" priority="685" stopIfTrue="1" operator="equal">
      <formula>$A$32</formula>
    </cfRule>
  </conditionalFormatting>
  <conditionalFormatting sqref="DE18">
    <cfRule type="cellIs" dxfId="1016" priority="684" stopIfTrue="1" operator="equal">
      <formula>$A$32</formula>
    </cfRule>
  </conditionalFormatting>
  <conditionalFormatting sqref="DF17">
    <cfRule type="cellIs" dxfId="1015" priority="680" stopIfTrue="1" operator="equal">
      <formula>$A$32</formula>
    </cfRule>
  </conditionalFormatting>
  <conditionalFormatting sqref="DF17">
    <cfRule type="cellIs" dxfId="1014" priority="679" stopIfTrue="1" operator="equal">
      <formula>$A$32</formula>
    </cfRule>
  </conditionalFormatting>
  <conditionalFormatting sqref="DF17">
    <cfRule type="cellIs" dxfId="1013" priority="678" stopIfTrue="1" operator="equal">
      <formula>$A$32</formula>
    </cfRule>
  </conditionalFormatting>
  <conditionalFormatting sqref="DF18">
    <cfRule type="cellIs" dxfId="1012" priority="677" stopIfTrue="1" operator="equal">
      <formula>$A$32</formula>
    </cfRule>
  </conditionalFormatting>
  <conditionalFormatting sqref="DF17">
    <cfRule type="cellIs" dxfId="1011" priority="673" stopIfTrue="1" operator="equal">
      <formula>$A$32</formula>
    </cfRule>
  </conditionalFormatting>
  <conditionalFormatting sqref="DF17">
    <cfRule type="cellIs" dxfId="1010" priority="672" stopIfTrue="1" operator="equal">
      <formula>$A$32</formula>
    </cfRule>
  </conditionalFormatting>
  <conditionalFormatting sqref="DF18">
    <cfRule type="cellIs" dxfId="1009" priority="671" stopIfTrue="1" operator="equal">
      <formula>$A$32</formula>
    </cfRule>
  </conditionalFormatting>
  <conditionalFormatting sqref="DC16">
    <cfRule type="cellIs" dxfId="1008" priority="669" stopIfTrue="1" operator="equal">
      <formula>$A$32</formula>
    </cfRule>
  </conditionalFormatting>
  <conditionalFormatting sqref="DC17">
    <cfRule type="cellIs" dxfId="1007" priority="668" stopIfTrue="1" operator="equal">
      <formula>$A$32</formula>
    </cfRule>
  </conditionalFormatting>
  <conditionalFormatting sqref="AS16:AX19">
    <cfRule type="cellIs" dxfId="1006" priority="636" stopIfTrue="1" operator="equal">
      <formula>$A$31</formula>
    </cfRule>
  </conditionalFormatting>
  <conditionalFormatting sqref="DG16:DG19">
    <cfRule type="cellIs" dxfId="1005" priority="634" stopIfTrue="1" operator="equal">
      <formula>$A$33</formula>
    </cfRule>
  </conditionalFormatting>
  <conditionalFormatting sqref="DG17">
    <cfRule type="cellIs" dxfId="1004" priority="635" stopIfTrue="1" operator="equal">
      <formula>$A$32</formula>
    </cfRule>
  </conditionalFormatting>
  <conditionalFormatting sqref="DH19:DJ19">
    <cfRule type="cellIs" dxfId="1003" priority="633" stopIfTrue="1" operator="equal">
      <formula>$A$32</formula>
    </cfRule>
  </conditionalFormatting>
  <conditionalFormatting sqref="DK19">
    <cfRule type="cellIs" dxfId="1002" priority="630" stopIfTrue="1" operator="equal">
      <formula>$A$32</formula>
    </cfRule>
  </conditionalFormatting>
  <conditionalFormatting sqref="DL19">
    <cfRule type="cellIs" dxfId="1001" priority="628" stopIfTrue="1" operator="equal">
      <formula>$A$32</formula>
    </cfRule>
  </conditionalFormatting>
  <conditionalFormatting sqref="BV16">
    <cfRule type="cellIs" dxfId="1000" priority="626" stopIfTrue="1" operator="equal">
      <formula>$A$32</formula>
    </cfRule>
  </conditionalFormatting>
  <conditionalFormatting sqref="BY18">
    <cfRule type="cellIs" dxfId="999" priority="622" stopIfTrue="1" operator="equal">
      <formula>$A$32</formula>
    </cfRule>
  </conditionalFormatting>
  <conditionalFormatting sqref="EB14:EG15">
    <cfRule type="cellIs" dxfId="998" priority="569" stopIfTrue="1" operator="equal">
      <formula>$A$33</formula>
    </cfRule>
  </conditionalFormatting>
  <conditionalFormatting sqref="EB9:EG9">
    <cfRule type="cellIs" dxfId="997" priority="565" stopIfTrue="1" operator="equal">
      <formula>$A$33</formula>
    </cfRule>
  </conditionalFormatting>
  <conditionalFormatting sqref="EH14:EJ15">
    <cfRule type="cellIs" dxfId="996" priority="555" stopIfTrue="1" operator="equal">
      <formula>$A$33</formula>
    </cfRule>
  </conditionalFormatting>
  <conditionalFormatting sqref="EH9:EJ9">
    <cfRule type="cellIs" dxfId="995" priority="551" stopIfTrue="1" operator="equal">
      <formula>$A$33</formula>
    </cfRule>
  </conditionalFormatting>
  <conditionalFormatting sqref="EA16">
    <cfRule type="cellIs" dxfId="994" priority="541" stopIfTrue="1" operator="equal">
      <formula>$A$33</formula>
    </cfRule>
  </conditionalFormatting>
  <conditionalFormatting sqref="EJ16">
    <cfRule type="cellIs" dxfId="993" priority="540" stopIfTrue="1" operator="equal">
      <formula>$A$33</formula>
    </cfRule>
  </conditionalFormatting>
  <conditionalFormatting sqref="EK8">
    <cfRule type="cellIs" dxfId="992" priority="539" stopIfTrue="1" operator="equal">
      <formula>$A$33</formula>
    </cfRule>
  </conditionalFormatting>
  <conditionalFormatting sqref="EK14:EK15">
    <cfRule type="cellIs" dxfId="991" priority="538" stopIfTrue="1" operator="equal">
      <formula>$A$33</formula>
    </cfRule>
  </conditionalFormatting>
  <conditionalFormatting sqref="EK9">
    <cfRule type="cellIs" dxfId="990" priority="535" stopIfTrue="1" operator="equal">
      <formula>$A$33</formula>
    </cfRule>
  </conditionalFormatting>
  <conditionalFormatting sqref="EK16">
    <cfRule type="cellIs" dxfId="989" priority="525" stopIfTrue="1" operator="equal">
      <formula>$A$33</formula>
    </cfRule>
  </conditionalFormatting>
  <conditionalFormatting sqref="EL17:EL19">
    <cfRule type="cellIs" dxfId="988" priority="469" stopIfTrue="1" operator="equal">
      <formula>$A$33</formula>
    </cfRule>
  </conditionalFormatting>
  <conditionalFormatting sqref="EL20">
    <cfRule type="cellIs" dxfId="987" priority="470" stopIfTrue="1" operator="equal">
      <formula>$A$33</formula>
    </cfRule>
  </conditionalFormatting>
  <conditionalFormatting sqref="EL8">
    <cfRule type="cellIs" dxfId="986" priority="468" stopIfTrue="1" operator="equal">
      <formula>$A$33</formula>
    </cfRule>
  </conditionalFormatting>
  <conditionalFormatting sqref="EL14:EL15">
    <cfRule type="cellIs" dxfId="985" priority="467" stopIfTrue="1" operator="equal">
      <formula>$A$33</formula>
    </cfRule>
  </conditionalFormatting>
  <conditionalFormatting sqref="EL16">
    <cfRule type="cellIs" dxfId="984" priority="454" stopIfTrue="1" operator="equal">
      <formula>$A$33</formula>
    </cfRule>
  </conditionalFormatting>
  <conditionalFormatting sqref="EM17:EM19">
    <cfRule type="cellIs" dxfId="983" priority="451" stopIfTrue="1" operator="equal">
      <formula>$A$33</formula>
    </cfRule>
  </conditionalFormatting>
  <conditionalFormatting sqref="EM20">
    <cfRule type="cellIs" dxfId="982" priority="452" stopIfTrue="1" operator="equal">
      <formula>$A$33</formula>
    </cfRule>
  </conditionalFormatting>
  <conditionalFormatting sqref="EM8">
    <cfRule type="cellIs" dxfId="981" priority="450" stopIfTrue="1" operator="equal">
      <formula>$A$33</formula>
    </cfRule>
  </conditionalFormatting>
  <conditionalFormatting sqref="EM14:EM15">
    <cfRule type="cellIs" dxfId="980" priority="449" stopIfTrue="1" operator="equal">
      <formula>$A$33</formula>
    </cfRule>
  </conditionalFormatting>
  <conditionalFormatting sqref="EM16">
    <cfRule type="cellIs" dxfId="979" priority="436" stopIfTrue="1" operator="equal">
      <formula>$A$33</formula>
    </cfRule>
  </conditionalFormatting>
  <conditionalFormatting sqref="EN17:EN19">
    <cfRule type="cellIs" dxfId="978" priority="433" stopIfTrue="1" operator="equal">
      <formula>$A$33</formula>
    </cfRule>
  </conditionalFormatting>
  <conditionalFormatting sqref="EN20">
    <cfRule type="cellIs" dxfId="977" priority="434" stopIfTrue="1" operator="equal">
      <formula>$A$33</formula>
    </cfRule>
  </conditionalFormatting>
  <conditionalFormatting sqref="EN8">
    <cfRule type="cellIs" dxfId="976" priority="432" stopIfTrue="1" operator="equal">
      <formula>$A$33</formula>
    </cfRule>
  </conditionalFormatting>
  <conditionalFormatting sqref="EN14:EN15">
    <cfRule type="cellIs" dxfId="975" priority="431" stopIfTrue="1" operator="equal">
      <formula>$A$33</formula>
    </cfRule>
  </conditionalFormatting>
  <conditionalFormatting sqref="EN9">
    <cfRule type="cellIs" dxfId="974" priority="428" stopIfTrue="1" operator="equal">
      <formula>$A$33</formula>
    </cfRule>
  </conditionalFormatting>
  <conditionalFormatting sqref="EN16">
    <cfRule type="cellIs" dxfId="973" priority="418" stopIfTrue="1" operator="equal">
      <formula>$A$33</formula>
    </cfRule>
  </conditionalFormatting>
  <conditionalFormatting sqref="EO13">
    <cfRule type="cellIs" dxfId="972" priority="362" stopIfTrue="1" operator="equal">
      <formula>$A$33</formula>
    </cfRule>
  </conditionalFormatting>
  <conditionalFormatting sqref="EO13">
    <cfRule type="cellIs" dxfId="971" priority="361" stopIfTrue="1" operator="equal">
      <formula>$A$33</formula>
    </cfRule>
  </conditionalFormatting>
  <conditionalFormatting sqref="EO13">
    <cfRule type="cellIs" dxfId="970" priority="360" stopIfTrue="1" operator="equal">
      <formula>$A$33</formula>
    </cfRule>
  </conditionalFormatting>
  <conditionalFormatting sqref="EO13">
    <cfRule type="cellIs" dxfId="969" priority="359" stopIfTrue="1" operator="equal">
      <formula>$A$33</formula>
    </cfRule>
  </conditionalFormatting>
  <conditionalFormatting sqref="EO13">
    <cfRule type="cellIs" dxfId="968" priority="358" stopIfTrue="1" operator="equal">
      <formula>$A$33</formula>
    </cfRule>
  </conditionalFormatting>
  <conditionalFormatting sqref="EO13">
    <cfRule type="cellIs" dxfId="967" priority="357" stopIfTrue="1" operator="equal">
      <formula>$A$33</formula>
    </cfRule>
  </conditionalFormatting>
  <conditionalFormatting sqref="EO17">
    <cfRule type="cellIs" dxfId="966" priority="356" stopIfTrue="1" operator="equal">
      <formula>$A$32</formula>
    </cfRule>
  </conditionalFormatting>
  <conditionalFormatting sqref="EO16">
    <cfRule type="cellIs" dxfId="965" priority="355" stopIfTrue="1" operator="equal">
      <formula>$A$32</formula>
    </cfRule>
  </conditionalFormatting>
  <conditionalFormatting sqref="EP13">
    <cfRule type="cellIs" dxfId="964" priority="316" stopIfTrue="1" operator="equal">
      <formula>$A$33</formula>
    </cfRule>
  </conditionalFormatting>
  <conditionalFormatting sqref="EP13">
    <cfRule type="cellIs" dxfId="963" priority="315" stopIfTrue="1" operator="equal">
      <formula>$A$33</formula>
    </cfRule>
  </conditionalFormatting>
  <conditionalFormatting sqref="EP13">
    <cfRule type="cellIs" dxfId="962" priority="314" stopIfTrue="1" operator="equal">
      <formula>$A$33</formula>
    </cfRule>
  </conditionalFormatting>
  <conditionalFormatting sqref="EP13">
    <cfRule type="cellIs" dxfId="961" priority="313" stopIfTrue="1" operator="equal">
      <formula>$A$33</formula>
    </cfRule>
  </conditionalFormatting>
  <conditionalFormatting sqref="EP13">
    <cfRule type="cellIs" dxfId="960" priority="312" stopIfTrue="1" operator="equal">
      <formula>$A$33</formula>
    </cfRule>
  </conditionalFormatting>
  <conditionalFormatting sqref="EP13">
    <cfRule type="cellIs" dxfId="959" priority="311" stopIfTrue="1" operator="equal">
      <formula>$A$33</formula>
    </cfRule>
  </conditionalFormatting>
  <conditionalFormatting sqref="EP17">
    <cfRule type="cellIs" dxfId="958" priority="310" stopIfTrue="1" operator="equal">
      <formula>$A$32</formula>
    </cfRule>
  </conditionalFormatting>
  <conditionalFormatting sqref="EP16">
    <cfRule type="cellIs" dxfId="957" priority="309" stopIfTrue="1" operator="equal">
      <formula>$A$32</formula>
    </cfRule>
  </conditionalFormatting>
  <conditionalFormatting sqref="EQ13">
    <cfRule type="cellIs" dxfId="956" priority="270" stopIfTrue="1" operator="equal">
      <formula>$A$33</formula>
    </cfRule>
  </conditionalFormatting>
  <conditionalFormatting sqref="EQ13">
    <cfRule type="cellIs" dxfId="955" priority="269" stopIfTrue="1" operator="equal">
      <formula>$A$33</formula>
    </cfRule>
  </conditionalFormatting>
  <conditionalFormatting sqref="EQ13">
    <cfRule type="cellIs" dxfId="954" priority="268" stopIfTrue="1" operator="equal">
      <formula>$A$33</formula>
    </cfRule>
  </conditionalFormatting>
  <conditionalFormatting sqref="EQ13">
    <cfRule type="cellIs" dxfId="953" priority="267" stopIfTrue="1" operator="equal">
      <formula>$A$33</formula>
    </cfRule>
  </conditionalFormatting>
  <conditionalFormatting sqref="EQ13">
    <cfRule type="cellIs" dxfId="952" priority="266" stopIfTrue="1" operator="equal">
      <formula>$A$33</formula>
    </cfRule>
  </conditionalFormatting>
  <conditionalFormatting sqref="EQ13">
    <cfRule type="cellIs" dxfId="951" priority="265" stopIfTrue="1" operator="equal">
      <formula>$A$33</formula>
    </cfRule>
  </conditionalFormatting>
  <conditionalFormatting sqref="EQ17">
    <cfRule type="cellIs" dxfId="950" priority="264" stopIfTrue="1" operator="equal">
      <formula>$A$32</formula>
    </cfRule>
  </conditionalFormatting>
  <conditionalFormatting sqref="EQ16">
    <cfRule type="cellIs" dxfId="949" priority="263" stopIfTrue="1" operator="equal">
      <formula>$A$32</formula>
    </cfRule>
  </conditionalFormatting>
  <conditionalFormatting sqref="ER8">
    <cfRule type="cellIs" dxfId="948" priority="179" stopIfTrue="1" operator="equal">
      <formula>$A$33</formula>
    </cfRule>
  </conditionalFormatting>
  <conditionalFormatting sqref="ER15">
    <cfRule type="cellIs" dxfId="947" priority="178" stopIfTrue="1" operator="equal">
      <formula>$A$33</formula>
    </cfRule>
  </conditionalFormatting>
  <conditionalFormatting sqref="ES8">
    <cfRule type="cellIs" dxfId="946" priority="173" stopIfTrue="1" operator="equal">
      <formula>$A$33</formula>
    </cfRule>
  </conditionalFormatting>
  <conditionalFormatting sqref="ES15">
    <cfRule type="cellIs" dxfId="945" priority="172" stopIfTrue="1" operator="equal">
      <formula>$A$33</formula>
    </cfRule>
  </conditionalFormatting>
  <conditionalFormatting sqref="ES9">
    <cfRule type="cellIs" dxfId="944" priority="166" stopIfTrue="1" operator="equal">
      <formula>$A$33</formula>
    </cfRule>
  </conditionalFormatting>
  <conditionalFormatting sqref="ES11">
    <cfRule type="cellIs" dxfId="943" priority="167" stopIfTrue="1" operator="equal">
      <formula>$A$32</formula>
    </cfRule>
  </conditionalFormatting>
  <conditionalFormatting sqref="ES13">
    <cfRule type="cellIs" dxfId="942" priority="165" stopIfTrue="1" operator="equal">
      <formula>$A$33</formula>
    </cfRule>
  </conditionalFormatting>
  <conditionalFormatting sqref="ES13">
    <cfRule type="cellIs" dxfId="941" priority="164" stopIfTrue="1" operator="equal">
      <formula>$A$33</formula>
    </cfRule>
  </conditionalFormatting>
  <conditionalFormatting sqref="ES13">
    <cfRule type="cellIs" dxfId="940" priority="163" stopIfTrue="1" operator="equal">
      <formula>$A$33</formula>
    </cfRule>
  </conditionalFormatting>
  <conditionalFormatting sqref="ES13">
    <cfRule type="cellIs" dxfId="939" priority="162" stopIfTrue="1" operator="equal">
      <formula>$A$33</formula>
    </cfRule>
  </conditionalFormatting>
  <conditionalFormatting sqref="ES13">
    <cfRule type="cellIs" dxfId="938" priority="161" stopIfTrue="1" operator="equal">
      <formula>$A$33</formula>
    </cfRule>
  </conditionalFormatting>
  <conditionalFormatting sqref="ES13">
    <cfRule type="cellIs" dxfId="937" priority="160" stopIfTrue="1" operator="equal">
      <formula>$A$33</formula>
    </cfRule>
  </conditionalFormatting>
  <conditionalFormatting sqref="ES16:ES19">
    <cfRule type="cellIs" dxfId="936" priority="158" stopIfTrue="1" operator="equal">
      <formula>$A$33</formula>
    </cfRule>
  </conditionalFormatting>
  <conditionalFormatting sqref="ES17">
    <cfRule type="cellIs" dxfId="935" priority="159" stopIfTrue="1" operator="equal">
      <formula>$A$32</formula>
    </cfRule>
  </conditionalFormatting>
  <conditionalFormatting sqref="ES17">
    <cfRule type="cellIs" dxfId="934" priority="157" stopIfTrue="1" operator="equal">
      <formula>$A$32</formula>
    </cfRule>
  </conditionalFormatting>
  <conditionalFormatting sqref="ES16">
    <cfRule type="cellIs" dxfId="933" priority="156" stopIfTrue="1" operator="equal">
      <formula>$A$32</formula>
    </cfRule>
  </conditionalFormatting>
  <conditionalFormatting sqref="ES14:EW14">
    <cfRule type="cellIs" dxfId="932" priority="113" stopIfTrue="1" operator="equal">
      <formula>$A$33</formula>
    </cfRule>
  </conditionalFormatting>
  <conditionalFormatting sqref="ES20">
    <cfRule type="cellIs" dxfId="931" priority="112" stopIfTrue="1" operator="equal">
      <formula>$A$33</formula>
    </cfRule>
  </conditionalFormatting>
  <conditionalFormatting sqref="EP9">
    <cfRule type="cellIs" dxfId="930" priority="110" stopIfTrue="1" operator="equal">
      <formula>$A$33</formula>
    </cfRule>
  </conditionalFormatting>
  <conditionalFormatting sqref="EQ9">
    <cfRule type="cellIs" dxfId="929" priority="109" stopIfTrue="1" operator="equal">
      <formula>$A$33</formula>
    </cfRule>
  </conditionalFormatting>
  <conditionalFormatting sqref="EL9">
    <cfRule type="cellIs" dxfId="928" priority="107" stopIfTrue="1" operator="equal">
      <formula>$A$33</formula>
    </cfRule>
  </conditionalFormatting>
  <conditionalFormatting sqref="EM9">
    <cfRule type="cellIs" dxfId="927" priority="106" stopIfTrue="1" operator="equal">
      <formula>$A$33</formula>
    </cfRule>
  </conditionalFormatting>
  <conditionalFormatting sqref="EN12">
    <cfRule type="cellIs" dxfId="926" priority="105" stopIfTrue="1" operator="equal">
      <formula>$A$33</formula>
    </cfRule>
  </conditionalFormatting>
  <conditionalFormatting sqref="ET8">
    <cfRule type="cellIs" dxfId="925" priority="104" stopIfTrue="1" operator="equal">
      <formula>$A$33</formula>
    </cfRule>
  </conditionalFormatting>
  <conditionalFormatting sqref="ET15">
    <cfRule type="cellIs" dxfId="924" priority="103" stopIfTrue="1" operator="equal">
      <formula>$A$33</formula>
    </cfRule>
  </conditionalFormatting>
  <conditionalFormatting sqref="EU8:EV8">
    <cfRule type="cellIs" dxfId="923" priority="97" stopIfTrue="1" operator="equal">
      <formula>$A$33</formula>
    </cfRule>
  </conditionalFormatting>
  <conditionalFormatting sqref="EU15">
    <cfRule type="cellIs" dxfId="922" priority="96" stopIfTrue="1" operator="equal">
      <formula>$A$33</formula>
    </cfRule>
  </conditionalFormatting>
  <conditionalFormatting sqref="EU20">
    <cfRule type="cellIs" dxfId="921" priority="90" stopIfTrue="1" operator="equal">
      <formula>$A$33</formula>
    </cfRule>
  </conditionalFormatting>
  <conditionalFormatting sqref="EV11">
    <cfRule type="cellIs" dxfId="920" priority="69" stopIfTrue="1" operator="equal">
      <formula>$A$32</formula>
    </cfRule>
  </conditionalFormatting>
  <conditionalFormatting sqref="EW17:EW19">
    <cfRule type="cellIs" dxfId="919" priority="63" stopIfTrue="1" operator="equal">
      <formula>$A$33</formula>
    </cfRule>
  </conditionalFormatting>
  <conditionalFormatting sqref="EW8:EX8">
    <cfRule type="cellIs" dxfId="918" priority="62" stopIfTrue="1" operator="equal">
      <formula>$A$33</formula>
    </cfRule>
  </conditionalFormatting>
  <conditionalFormatting sqref="EW15">
    <cfRule type="cellIs" dxfId="917" priority="61" stopIfTrue="1" operator="equal">
      <formula>$A$33</formula>
    </cfRule>
  </conditionalFormatting>
  <conditionalFormatting sqref="EW9">
    <cfRule type="cellIs" dxfId="916" priority="58" stopIfTrue="1" operator="equal">
      <formula>$A$33</formula>
    </cfRule>
  </conditionalFormatting>
  <conditionalFormatting sqref="EW16">
    <cfRule type="cellIs" dxfId="915" priority="48" stopIfTrue="1" operator="equal">
      <formula>$A$33</formula>
    </cfRule>
  </conditionalFormatting>
  <conditionalFormatting sqref="EX14">
    <cfRule type="cellIs" dxfId="914" priority="44" stopIfTrue="1" operator="equal">
      <formula>$A$33</formula>
    </cfRule>
  </conditionalFormatting>
  <conditionalFormatting sqref="EX20">
    <cfRule type="cellIs" dxfId="913" priority="43" stopIfTrue="1" operator="equal">
      <formula>$A$33</formula>
    </cfRule>
  </conditionalFormatting>
  <conditionalFormatting sqref="EX17:EX19">
    <cfRule type="cellIs" dxfId="912" priority="41" stopIfTrue="1" operator="equal">
      <formula>$A$33</formula>
    </cfRule>
  </conditionalFormatting>
  <conditionalFormatting sqref="EX15">
    <cfRule type="cellIs" dxfId="911" priority="39" stopIfTrue="1" operator="equal">
      <formula>$A$33</formula>
    </cfRule>
  </conditionalFormatting>
  <conditionalFormatting sqref="EX9">
    <cfRule type="cellIs" dxfId="910" priority="36" stopIfTrue="1" operator="equal">
      <formula>$A$33</formula>
    </cfRule>
  </conditionalFormatting>
  <conditionalFormatting sqref="EX16">
    <cfRule type="cellIs" dxfId="909" priority="26" stopIfTrue="1" operator="equal">
      <formula>$A$33</formula>
    </cfRule>
  </conditionalFormatting>
  <conditionalFormatting sqref="EY8">
    <cfRule type="cellIs" dxfId="908" priority="22" stopIfTrue="1" operator="equal">
      <formula>$A$33</formula>
    </cfRule>
  </conditionalFormatting>
  <conditionalFormatting sqref="EY14">
    <cfRule type="cellIs" dxfId="907" priority="21" stopIfTrue="1" operator="equal">
      <formula>$A$33</formula>
    </cfRule>
  </conditionalFormatting>
  <conditionalFormatting sqref="EY20">
    <cfRule type="cellIs" dxfId="906" priority="20" stopIfTrue="1" operator="equal">
      <formula>$A$33</formula>
    </cfRule>
  </conditionalFormatting>
  <conditionalFormatting sqref="EY17:EY19">
    <cfRule type="cellIs" dxfId="905" priority="18" stopIfTrue="1" operator="equal">
      <formula>$A$33</formula>
    </cfRule>
  </conditionalFormatting>
  <conditionalFormatting sqref="EY15">
    <cfRule type="cellIs" dxfId="904" priority="17" stopIfTrue="1" operator="equal">
      <formula>$A$33</formula>
    </cfRule>
  </conditionalFormatting>
  <conditionalFormatting sqref="EY9">
    <cfRule type="cellIs" dxfId="903" priority="14" stopIfTrue="1" operator="equal">
      <formula>$A$33</formula>
    </cfRule>
  </conditionalFormatting>
  <conditionalFormatting sqref="EY16">
    <cfRule type="cellIs" dxfId="902" priority="4" stopIfTrue="1" operator="equal">
      <formula>$A$33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4"/>
  <sheetViews>
    <sheetView topLeftCell="C1" zoomScale="85" zoomScaleNormal="85" workbookViewId="0">
      <selection activeCell="BY9" sqref="BY9"/>
    </sheetView>
  </sheetViews>
  <sheetFormatPr baseColWidth="10" defaultColWidth="11.42578125" defaultRowHeight="12.75"/>
  <cols>
    <col min="1" max="1" width="15.42578125" style="520" hidden="1" customWidth="1"/>
    <col min="2" max="2" width="9.42578125" style="520" hidden="1" customWidth="1"/>
    <col min="3" max="3" width="37.28515625" style="489" bestFit="1" customWidth="1"/>
    <col min="4" max="4" width="7.42578125" style="532" customWidth="1"/>
    <col min="5" max="5" width="16.7109375" style="532" customWidth="1"/>
    <col min="6" max="6" width="15.85546875" style="489" customWidth="1"/>
    <col min="7" max="7" width="13.5703125" style="532" customWidth="1"/>
    <col min="8" max="8" width="14.28515625" style="489" customWidth="1"/>
    <col min="9" max="9" width="14" style="489" customWidth="1"/>
    <col min="10" max="11" width="14.42578125" customWidth="1"/>
    <col min="12" max="14" width="14.28515625" style="489" customWidth="1"/>
    <col min="15" max="16" width="14.28515625" style="624" customWidth="1"/>
    <col min="17" max="17" width="14.7109375" style="489" customWidth="1"/>
    <col min="18" max="18" width="14.28515625" style="489" customWidth="1"/>
    <col min="19" max="20" width="14.28515625" style="528" customWidth="1"/>
    <col min="21" max="21" width="14.28515625" style="489" customWidth="1"/>
    <col min="22" max="22" width="14.28515625" style="528" customWidth="1"/>
    <col min="23" max="23" width="13.7109375" customWidth="1"/>
    <col min="24" max="24" width="13" style="489" customWidth="1"/>
    <col min="25" max="25" width="14.28515625" style="665" customWidth="1"/>
    <col min="26" max="26" width="12.85546875" style="489" customWidth="1"/>
    <col min="27" max="27" width="14.28515625" style="528" customWidth="1"/>
    <col min="28" max="28" width="14.85546875" style="489" customWidth="1"/>
    <col min="29" max="31" width="16.28515625" style="489" customWidth="1"/>
    <col min="32" max="32" width="14.28515625" style="489" customWidth="1"/>
    <col min="33" max="44" width="16.28515625" style="489" customWidth="1"/>
    <col min="45" max="45" width="12.5703125" style="489" customWidth="1"/>
    <col min="46" max="54" width="13" style="489" customWidth="1"/>
    <col min="55" max="56" width="12.85546875" style="489" customWidth="1"/>
    <col min="57" max="58" width="11.42578125" style="489"/>
    <col min="59" max="59" width="12.42578125" style="532" customWidth="1"/>
    <col min="60" max="60" width="12.28515625" style="532" customWidth="1"/>
    <col min="61" max="61" width="12.42578125" style="489" customWidth="1"/>
    <col min="62" max="62" width="16.140625" style="528" customWidth="1"/>
    <col min="63" max="63" width="16.140625" style="624" customWidth="1"/>
    <col min="64" max="65" width="14.5703125" style="489" customWidth="1"/>
    <col min="66" max="67" width="14.5703125" style="624" customWidth="1"/>
    <col min="68" max="71" width="13.42578125" style="489" customWidth="1"/>
    <col min="72" max="72" width="14.85546875" style="489" customWidth="1"/>
    <col min="73" max="73" width="14.85546875" style="529" customWidth="1"/>
    <col min="74" max="74" width="14.85546875" style="529" hidden="1" customWidth="1"/>
    <col min="75" max="75" width="11.42578125" style="489" customWidth="1"/>
    <col min="76" max="16384" width="11.42578125" style="489"/>
  </cols>
  <sheetData>
    <row r="1" spans="1:74">
      <c r="C1" s="1266" t="str">
        <f>Criterios!A9 &amp;"  "&amp;Criterios!B9</f>
        <v>Tribunales de Justicia  ANDALUCIA</v>
      </c>
      <c r="F1" s="532"/>
    </row>
    <row r="2" spans="1:74" ht="16.5" customHeight="1">
      <c r="C2" s="521" t="str">
        <f>Criterios!A10 &amp;"  "&amp;Criterios!B10 &amp; "  " &amp; IF(NOT(ISBLANK(Criterios!A11)),Criterios!A11 &amp;"  "&amp;Criterios!B11,"")</f>
        <v>Provincias  CORDOBA  Resumenes por Partidos Judiciales  PUENTE GENIL</v>
      </c>
      <c r="D2" s="522"/>
      <c r="E2" s="523"/>
      <c r="F2" s="721"/>
      <c r="G2" s="525"/>
      <c r="I2" s="524"/>
      <c r="J2" s="339"/>
      <c r="K2" s="339"/>
      <c r="L2" s="524"/>
      <c r="M2" s="524"/>
      <c r="N2" s="524"/>
      <c r="O2" s="635"/>
      <c r="P2" s="635"/>
      <c r="Q2" s="524"/>
      <c r="U2" s="524"/>
      <c r="V2" s="526"/>
      <c r="Y2" s="661"/>
    </row>
    <row r="3" spans="1:74" ht="30" customHeight="1">
      <c r="C3" s="768"/>
      <c r="D3" s="531"/>
      <c r="F3" s="532"/>
      <c r="G3" s="533"/>
      <c r="I3" s="527"/>
    </row>
    <row r="4" spans="1:74" ht="17.25" customHeight="1" thickBot="1">
      <c r="C4" s="698"/>
      <c r="D4" s="535"/>
      <c r="E4" s="536"/>
      <c r="F4" s="536"/>
      <c r="G4" s="536"/>
      <c r="H4" s="536"/>
      <c r="I4" s="537"/>
      <c r="J4" s="338"/>
      <c r="K4" s="338"/>
      <c r="L4" s="536"/>
      <c r="M4" s="537"/>
      <c r="N4" s="537"/>
      <c r="O4" s="674"/>
      <c r="P4" s="537"/>
      <c r="Q4" s="536"/>
      <c r="R4" s="537"/>
      <c r="S4" s="526"/>
      <c r="T4" s="705"/>
      <c r="U4" s="537"/>
      <c r="V4" s="536"/>
      <c r="Y4" s="717"/>
      <c r="Z4" s="537"/>
      <c r="AA4" s="536"/>
      <c r="AB4" s="537"/>
      <c r="AC4" s="536"/>
      <c r="AD4" s="536"/>
      <c r="AE4" s="536"/>
      <c r="AF4" s="537"/>
      <c r="AG4" s="536"/>
      <c r="AH4" s="536"/>
      <c r="AI4" s="536"/>
      <c r="AJ4" s="536"/>
      <c r="AK4" s="537"/>
      <c r="AL4" s="536"/>
      <c r="AM4" s="537"/>
      <c r="AN4" s="536"/>
      <c r="AO4" s="537"/>
      <c r="AP4" s="536"/>
      <c r="AQ4" s="537"/>
      <c r="AR4" s="537"/>
      <c r="AS4" s="536"/>
      <c r="AT4" s="537"/>
      <c r="AU4" s="536"/>
      <c r="AV4" s="537"/>
      <c r="AW4" s="536"/>
      <c r="AX4" s="537"/>
      <c r="AY4" s="536"/>
      <c r="AZ4" s="537"/>
      <c r="BA4" s="536"/>
      <c r="BB4" s="537"/>
      <c r="BC4" s="536"/>
      <c r="BD4" s="537"/>
      <c r="BE4" s="536"/>
      <c r="BF4" s="537"/>
      <c r="BG4" s="536"/>
      <c r="BH4" s="536"/>
      <c r="BI4" s="536"/>
      <c r="BJ4" s="537"/>
      <c r="BK4" s="536"/>
      <c r="BL4" s="537"/>
      <c r="BM4" s="536"/>
      <c r="BN4" s="537"/>
      <c r="BO4" s="536"/>
      <c r="BP4" s="537"/>
      <c r="BQ4" s="537"/>
      <c r="BR4" s="536"/>
      <c r="BS4" s="536"/>
      <c r="BT4" s="537"/>
      <c r="BU4" s="536"/>
      <c r="BV4" s="536"/>
    </row>
    <row r="5" spans="1:74" ht="15.75" customHeight="1">
      <c r="A5" s="1424" t="s">
        <v>391</v>
      </c>
      <c r="B5" s="277"/>
      <c r="C5" s="1669"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732</v>
      </c>
      <c r="L5" s="1660" t="s">
        <v>623</v>
      </c>
      <c r="M5" s="1660" t="s">
        <v>591</v>
      </c>
      <c r="N5" s="1660" t="s">
        <v>733</v>
      </c>
      <c r="O5" s="1663" t="s">
        <v>649</v>
      </c>
      <c r="P5" s="1660" t="s">
        <v>751</v>
      </c>
      <c r="Q5" s="1660" t="s">
        <v>746</v>
      </c>
      <c r="R5" s="1660" t="s">
        <v>190</v>
      </c>
      <c r="S5" s="1666" t="s">
        <v>743</v>
      </c>
      <c r="T5" s="1666" t="s">
        <v>745</v>
      </c>
      <c r="U5" s="1660" t="s">
        <v>652</v>
      </c>
      <c r="V5" s="1666" t="s">
        <v>624</v>
      </c>
      <c r="W5" s="1660" t="s">
        <v>842</v>
      </c>
      <c r="X5" s="1660" t="s">
        <v>843</v>
      </c>
      <c r="Y5" s="1680" t="s">
        <v>734</v>
      </c>
      <c r="Z5" s="1677" t="s">
        <v>675</v>
      </c>
      <c r="AA5" s="1695" t="s">
        <v>625</v>
      </c>
      <c r="AB5" s="1677" t="s">
        <v>626</v>
      </c>
      <c r="AC5" s="1677" t="s">
        <v>627</v>
      </c>
      <c r="AD5" s="1698" t="s">
        <v>735</v>
      </c>
      <c r="AE5" s="1698" t="s">
        <v>870</v>
      </c>
      <c r="AF5" s="1660" t="s">
        <v>747</v>
      </c>
      <c r="AG5" s="1660" t="s">
        <v>592</v>
      </c>
      <c r="AH5" s="1660" t="s">
        <v>736</v>
      </c>
      <c r="AI5" s="1660" t="s">
        <v>201</v>
      </c>
      <c r="AJ5" s="1660" t="s">
        <v>801</v>
      </c>
      <c r="AK5" s="1660" t="s">
        <v>593</v>
      </c>
      <c r="AL5" s="1660" t="s">
        <v>594</v>
      </c>
      <c r="AM5" s="1660" t="s">
        <v>752</v>
      </c>
      <c r="AN5" s="1660" t="s">
        <v>595</v>
      </c>
      <c r="AO5" s="1660" t="s">
        <v>596</v>
      </c>
      <c r="AP5" s="1660" t="s">
        <v>597</v>
      </c>
      <c r="AQ5" s="1660" t="s">
        <v>598</v>
      </c>
      <c r="AR5" s="1660" t="s">
        <v>737</v>
      </c>
      <c r="AS5" s="1660" t="s">
        <v>204</v>
      </c>
      <c r="AT5" s="1683" t="s">
        <v>202</v>
      </c>
      <c r="AU5" s="1660" t="s">
        <v>748</v>
      </c>
      <c r="AV5" s="1686" t="s">
        <v>749</v>
      </c>
      <c r="AW5" s="1689" t="s">
        <v>600</v>
      </c>
      <c r="AX5" s="1660" t="s">
        <v>601</v>
      </c>
      <c r="AY5" s="1660" t="s">
        <v>673</v>
      </c>
      <c r="AZ5" s="1692" t="s">
        <v>674</v>
      </c>
      <c r="BA5" s="1660" t="s">
        <v>629</v>
      </c>
      <c r="BB5" s="1686" t="s">
        <v>630</v>
      </c>
      <c r="BC5" s="1689" t="s">
        <v>205</v>
      </c>
      <c r="BD5" s="1660" t="s">
        <v>631</v>
      </c>
      <c r="BE5" s="1660" t="s">
        <v>274</v>
      </c>
      <c r="BF5" s="1660" t="s">
        <v>275</v>
      </c>
      <c r="BG5" s="1660" t="s">
        <v>276</v>
      </c>
      <c r="BH5" s="1660" t="s">
        <v>632</v>
      </c>
      <c r="BI5" s="1660" t="s">
        <v>277</v>
      </c>
      <c r="BJ5" s="1660" t="s">
        <v>633</v>
      </c>
      <c r="BK5" s="1660" t="s">
        <v>647</v>
      </c>
      <c r="BL5" s="1660" t="s">
        <v>634</v>
      </c>
      <c r="BM5" s="1660" t="s">
        <v>635</v>
      </c>
      <c r="BN5" s="1660" t="s">
        <v>660</v>
      </c>
      <c r="BO5" s="1660" t="s">
        <v>653</v>
      </c>
      <c r="BP5" s="1660" t="s">
        <v>915</v>
      </c>
      <c r="BQ5" s="1660" t="s">
        <v>918</v>
      </c>
      <c r="BR5" s="1660" t="s">
        <v>920</v>
      </c>
      <c r="BS5" s="1660" t="s">
        <v>654</v>
      </c>
      <c r="BT5" s="1660" t="s">
        <v>636</v>
      </c>
      <c r="BU5" s="1660" t="s">
        <v>599</v>
      </c>
      <c r="BV5" s="1674" t="s">
        <v>844</v>
      </c>
    </row>
    <row r="6" spans="1:74" ht="21.75" customHeight="1">
      <c r="A6" s="1425"/>
      <c r="B6" s="278"/>
      <c r="C6" s="1670"/>
      <c r="D6" s="1661"/>
      <c r="E6" s="1661"/>
      <c r="F6" s="1672"/>
      <c r="G6" s="1661"/>
      <c r="H6" s="1661"/>
      <c r="I6" s="1661"/>
      <c r="J6" s="1661"/>
      <c r="K6" s="1661"/>
      <c r="L6" s="1661"/>
      <c r="M6" s="1661"/>
      <c r="N6" s="1661"/>
      <c r="O6" s="1664"/>
      <c r="P6" s="1661"/>
      <c r="Q6" s="1661"/>
      <c r="R6" s="1661"/>
      <c r="S6" s="1667"/>
      <c r="T6" s="1667"/>
      <c r="U6" s="1661"/>
      <c r="V6" s="1667"/>
      <c r="W6" s="1661"/>
      <c r="X6" s="1661"/>
      <c r="Y6" s="1681"/>
      <c r="Z6" s="1678"/>
      <c r="AA6" s="1696"/>
      <c r="AB6" s="1678"/>
      <c r="AC6" s="1678"/>
      <c r="AD6" s="1699"/>
      <c r="AE6" s="1699"/>
      <c r="AF6" s="1661"/>
      <c r="AG6" s="1661"/>
      <c r="AH6" s="1661"/>
      <c r="AI6" s="1661"/>
      <c r="AJ6" s="1661"/>
      <c r="AK6" s="1661"/>
      <c r="AL6" s="1661"/>
      <c r="AM6" s="1661"/>
      <c r="AN6" s="1661"/>
      <c r="AO6" s="1661"/>
      <c r="AP6" s="1661"/>
      <c r="AQ6" s="1661"/>
      <c r="AR6" s="1661"/>
      <c r="AS6" s="1661"/>
      <c r="AT6" s="1684"/>
      <c r="AU6" s="1661"/>
      <c r="AV6" s="1687"/>
      <c r="AW6" s="1690"/>
      <c r="AX6" s="1661"/>
      <c r="AY6" s="1661"/>
      <c r="AZ6" s="1693"/>
      <c r="BA6" s="1661"/>
      <c r="BB6" s="1687"/>
      <c r="BC6" s="1690"/>
      <c r="BD6" s="1661"/>
      <c r="BE6" s="1661"/>
      <c r="BF6" s="1661"/>
      <c r="BG6" s="1661"/>
      <c r="BH6" s="1661"/>
      <c r="BI6" s="1661"/>
      <c r="BJ6" s="1661"/>
      <c r="BK6" s="1661"/>
      <c r="BL6" s="1661"/>
      <c r="BM6" s="1661"/>
      <c r="BN6" s="1661"/>
      <c r="BO6" s="1661"/>
      <c r="BP6" s="1661"/>
      <c r="BQ6" s="1661"/>
      <c r="BR6" s="1661"/>
      <c r="BS6" s="1661"/>
      <c r="BT6" s="1661"/>
      <c r="BU6" s="1661"/>
      <c r="BV6" s="1675"/>
    </row>
    <row r="7" spans="1:74" ht="38.25" customHeight="1" thickBot="1">
      <c r="A7" s="1426"/>
      <c r="B7" s="279"/>
      <c r="C7" s="269" t="str">
        <f>Datos!A7</f>
        <v>COMPETENCIAS</v>
      </c>
      <c r="D7" s="1662"/>
      <c r="E7" s="1662"/>
      <c r="F7" s="1673"/>
      <c r="G7" s="1662"/>
      <c r="H7" s="1662"/>
      <c r="I7" s="1662"/>
      <c r="J7" s="1662"/>
      <c r="K7" s="1662"/>
      <c r="L7" s="1662"/>
      <c r="M7" s="1662"/>
      <c r="N7" s="1662"/>
      <c r="O7" s="1665"/>
      <c r="P7" s="1662"/>
      <c r="Q7" s="1662"/>
      <c r="R7" s="1662"/>
      <c r="S7" s="1668"/>
      <c r="T7" s="1668"/>
      <c r="U7" s="1662"/>
      <c r="V7" s="1668"/>
      <c r="W7" s="1662"/>
      <c r="X7" s="1662"/>
      <c r="Y7" s="1682"/>
      <c r="Z7" s="1679"/>
      <c r="AA7" s="1697"/>
      <c r="AB7" s="1679"/>
      <c r="AC7" s="1679"/>
      <c r="AD7" s="1700"/>
      <c r="AE7" s="1700"/>
      <c r="AF7" s="1662"/>
      <c r="AG7" s="1662"/>
      <c r="AH7" s="1662"/>
      <c r="AI7" s="1662"/>
      <c r="AJ7" s="1662"/>
      <c r="AK7" s="1662"/>
      <c r="AL7" s="1662"/>
      <c r="AM7" s="1662"/>
      <c r="AN7" s="1662"/>
      <c r="AO7" s="1662"/>
      <c r="AP7" s="1662"/>
      <c r="AQ7" s="1662"/>
      <c r="AR7" s="1662"/>
      <c r="AS7" s="1662"/>
      <c r="AT7" s="1685"/>
      <c r="AU7" s="1662"/>
      <c r="AV7" s="1688"/>
      <c r="AW7" s="1691"/>
      <c r="AX7" s="1662"/>
      <c r="AY7" s="1662"/>
      <c r="AZ7" s="1694"/>
      <c r="BA7" s="1662"/>
      <c r="BB7" s="1688"/>
      <c r="BC7" s="1691"/>
      <c r="BD7" s="1662"/>
      <c r="BE7" s="1662"/>
      <c r="BF7" s="1662"/>
      <c r="BG7" s="1662"/>
      <c r="BH7" s="1662"/>
      <c r="BI7" s="1662"/>
      <c r="BJ7" s="1662"/>
      <c r="BK7" s="1662"/>
      <c r="BL7" s="1662"/>
      <c r="BM7" s="1662"/>
      <c r="BN7" s="1662"/>
      <c r="BO7" s="1662"/>
      <c r="BP7" s="1662"/>
      <c r="BQ7" s="1662"/>
      <c r="BR7" s="1662"/>
      <c r="BS7" s="1662"/>
      <c r="BT7" s="1662"/>
      <c r="BU7" s="1662"/>
      <c r="BV7" s="1676"/>
    </row>
    <row r="8" spans="1:74" ht="15" thickTop="1">
      <c r="A8" s="538"/>
      <c r="B8" s="538"/>
      <c r="C8" s="166" t="str">
        <f>Datos!A8</f>
        <v>Jurisdicción Civil ( 1 ):</v>
      </c>
      <c r="D8" s="539"/>
      <c r="E8" s="539"/>
      <c r="F8" s="221"/>
      <c r="G8" s="494"/>
      <c r="H8" s="222"/>
      <c r="I8" s="221"/>
      <c r="J8" s="222"/>
      <c r="K8" s="222"/>
      <c r="L8" s="222"/>
      <c r="M8" s="222"/>
      <c r="N8" s="222"/>
      <c r="O8" s="636"/>
      <c r="P8" s="636"/>
      <c r="Q8" s="222"/>
      <c r="R8" s="222"/>
      <c r="S8" s="495"/>
      <c r="T8" s="495"/>
      <c r="U8" s="222"/>
      <c r="V8" s="495"/>
      <c r="W8" s="304"/>
      <c r="X8" s="304"/>
      <c r="Y8" s="222"/>
      <c r="Z8" s="226"/>
      <c r="AA8" s="496"/>
      <c r="AB8" s="221"/>
      <c r="AC8" s="222"/>
      <c r="AD8" s="222"/>
      <c r="AE8" s="222"/>
      <c r="AF8" s="221"/>
      <c r="AG8" s="222"/>
      <c r="AH8" s="222"/>
      <c r="AI8" s="222"/>
      <c r="AJ8" s="222"/>
      <c r="AK8" s="222"/>
      <c r="AL8" s="222"/>
      <c r="AM8" s="222"/>
      <c r="AN8" s="222"/>
      <c r="AO8" s="222"/>
      <c r="AP8" s="222"/>
      <c r="AQ8" s="222"/>
      <c r="AR8" s="222"/>
      <c r="AS8" s="314"/>
      <c r="AT8" s="221"/>
      <c r="AU8" s="222"/>
      <c r="AV8" s="223"/>
      <c r="AW8" s="303"/>
      <c r="AX8" s="232"/>
      <c r="AY8" s="303"/>
      <c r="AZ8" s="232"/>
      <c r="BA8" s="222"/>
      <c r="BB8" s="223"/>
      <c r="BC8" s="221"/>
      <c r="BD8" s="222"/>
      <c r="BE8" s="224"/>
      <c r="BF8" s="225"/>
      <c r="BG8" s="914"/>
      <c r="BH8" s="918"/>
      <c r="BI8" s="226"/>
      <c r="BJ8" s="229"/>
      <c r="BK8" s="625"/>
      <c r="BL8" s="229"/>
      <c r="BM8" s="308"/>
      <c r="BN8" s="638"/>
      <c r="BO8" s="638"/>
      <c r="BP8" s="229"/>
      <c r="BQ8" s="229"/>
      <c r="BR8" s="229"/>
      <c r="BS8" s="229"/>
      <c r="BT8" s="304"/>
      <c r="BU8" s="497"/>
      <c r="BV8" s="1268"/>
    </row>
    <row r="9" spans="1:74" s="532" customFormat="1" ht="14.25">
      <c r="A9" s="653">
        <f>Datos!AO9</f>
        <v>0</v>
      </c>
      <c r="B9" s="653" t="s">
        <v>273</v>
      </c>
      <c r="C9" s="671" t="str">
        <f>Datos!A9</f>
        <v xml:space="preserve">Jdos. 1ª Instancia   </v>
      </c>
      <c r="D9" s="544"/>
      <c r="E9" s="670">
        <f>IF(ISNUMBER(Datos!AQ9),Datos!AQ9," - ")</f>
        <v>0</v>
      </c>
      <c r="F9" s="507" t="str">
        <f>IF(ISNUMBER(AF9+AB9-I9-L9),AF9+AB9-I9-L9," - ")</f>
        <v xml:space="preserve"> - </v>
      </c>
      <c r="G9" s="498" t="str">
        <f>IF(ISNUMBER(IF(J_V="SI",Datos!I9,Datos!I9+Datos!Y9)-IF(Monitorios="SI",Datos!CA9,0)),
                          IF(J_V="SI",Datos!I9,Datos!I9+Datos!Y9)-IF(Monitorios="SI",Datos!CA9,0),
                          " - ")</f>
        <v xml:space="preserve"> - </v>
      </c>
      <c r="H9" s="502"/>
      <c r="I9" s="507" t="str">
        <f>IF(ISNUMBER(Datos!DB9),Datos!DB9," - ")</f>
        <v xml:space="preserve"> - </v>
      </c>
      <c r="J9" s="502" t="str">
        <f>IF(ISNUMBER(Datos!DC9),Datos!DC9," - ")</f>
        <v xml:space="preserve"> - </v>
      </c>
      <c r="K9" s="504" t="str">
        <f>IF(ISNUMBER(Datos!DD9),Datos!DD9," - ")</f>
        <v xml:space="preserve"> - </v>
      </c>
      <c r="L9" s="502">
        <f>IF(ISNUMBER(Datos!DF9),Datos!DF9,0)</f>
        <v>0</v>
      </c>
      <c r="M9" s="502">
        <f>IF(ISNUMBER(Datos!DM9),Datos!DM9,0)</f>
        <v>0</v>
      </c>
      <c r="N9" s="504" t="str">
        <f>IF(ISNUMBER(Datos!Z9),Datos!Z9," - ")</f>
        <v xml:space="preserve"> - </v>
      </c>
      <c r="O9" s="504"/>
      <c r="P9" s="504"/>
      <c r="Q9" s="502">
        <f>IF(ISNUMBER(Datos!P9),Datos!P9,0)</f>
        <v>0</v>
      </c>
      <c r="R9" s="502" t="str">
        <f>IF(ISNUMBER(Datos!DE9),Datos!DE9," - ")</f>
        <v xml:space="preserve"> - </v>
      </c>
      <c r="S9" s="709"/>
      <c r="T9" s="709"/>
      <c r="U9" s="502" t="str">
        <f>IF(ISNUMBER(Datos!AS9/1),Datos!AS9/1," - ")</f>
        <v xml:space="preserve"> - </v>
      </c>
      <c r="V9" s="503" t="str">
        <f>IF(ISNUMBER(U9/(Datos!BM9/factor_trimestre)),U9/(Datos!BM9/factor_trimestre)," - ")</f>
        <v xml:space="preserve"> - </v>
      </c>
      <c r="W9" s="502" t="str">
        <f>IF(ISNUMBER(Datos!EO9),Datos!EO9," - ")</f>
        <v xml:space="preserve"> - </v>
      </c>
      <c r="X9" s="1139" t="e">
        <f>(W9/Datos!ER9)*factor_trimestre</f>
        <v>#VALUE!</v>
      </c>
      <c r="Y9" s="704" t="str">
        <f>IF(ISNUMBER(Datos!CB9),Datos!CB9," - ")</f>
        <v xml:space="preserve"> - </v>
      </c>
      <c r="Z9" s="507">
        <f>IF(ISNUMBER(Datos!BY9+Datos!BZ9*0.86),Datos!BY9+Datos!BZ9*0.86," - ")</f>
        <v>0</v>
      </c>
      <c r="AA9" s="503">
        <f>IF(ISNUMBER((Z9*factor_trimestre)/DatosB!CN9),(Z9*factor_trimestre)/DatosB!CN9,"-")</f>
        <v>0</v>
      </c>
      <c r="AB9" s="507" t="str">
        <f>IF(ISNUMBER(IF(J_V="SI",Datos!K9,Datos!K9+Datos!AA9)-IF(Monitorios="SI",Datos!CC9,0)),
                          IF(J_V="SI",Datos!K9,Datos!K9+Datos!AA9)-IF(Monitorios="SI",Datos!CC9,0),
                          " - ")</f>
        <v xml:space="preserve"> - </v>
      </c>
      <c r="AC9" s="502" t="str">
        <f>IF(ISNUMBER(Datos!Q9),Datos!Q9," - ")</f>
        <v xml:space="preserve"> - </v>
      </c>
      <c r="AD9" s="504" t="str">
        <f>IF(ISNUMBER(Datos!CC9),Datos!CC9," - ")</f>
        <v xml:space="preserve"> - </v>
      </c>
      <c r="AE9" s="517" t="str">
        <f>IF(ISNUMBER(Datos!EM9),Datos!EM9," - ")</f>
        <v xml:space="preserve"> - </v>
      </c>
      <c r="AF9" s="506" t="str">
        <f>IF(ISNUMBER(IF(J_V="SI",Datos!L9,Datos!L9+Datos!AB9)-IF(Monitorios="SI",Datos!CD9,0)),
                          IF(J_V="SI",Datos!L9,Datos!L9+Datos!AB9)-IF(Monitorios="SI",Datos!CD9,0),
                          " - ")</f>
        <v xml:space="preserve"> - </v>
      </c>
      <c r="AG9" s="504"/>
      <c r="AH9" s="504" t="str">
        <f>IF(ISNUMBER(Datos!AB9),Datos!AB9,"-")</f>
        <v>-</v>
      </c>
      <c r="AI9" s="504" t="str">
        <f>IF(ISNUMBER(Datos!CD9),Datos!CD9,"-")</f>
        <v>-</v>
      </c>
      <c r="AJ9" s="504" t="str">
        <f>IF(ISNUMBER(Datos!EN9),Datos!EN9," - ")</f>
        <v xml:space="preserve"> - </v>
      </c>
      <c r="AK9" s="504"/>
      <c r="AL9" s="505"/>
      <c r="AM9" s="672" t="str">
        <f>IF(ISNUMBER(Datos!R9),Datos!R9," - ")</f>
        <v xml:space="preserve"> - </v>
      </c>
      <c r="AN9" s="504"/>
      <c r="AO9" s="504"/>
      <c r="AP9" s="504"/>
      <c r="AQ9" s="504"/>
      <c r="AR9" s="504"/>
      <c r="AS9" s="504" t="str">
        <f>IF(ISNUMBER(Datos!BV9),Datos!BV9," - ")</f>
        <v xml:space="preserve"> - </v>
      </c>
      <c r="AT9" s="507" t="str">
        <f>IF(ISNUMBER(Datos!CK9),Datos!CK9," - ")</f>
        <v xml:space="preserve"> - </v>
      </c>
      <c r="AU9" s="508" t="str">
        <f>IF(ISNUMBER(Datos!CL9),Datos!CL9," - ")</f>
        <v xml:space="preserve"> - </v>
      </c>
      <c r="AV9" s="509" t="str">
        <f>IF(ISNUMBER(Datos!CM9),Datos!CM9," - ")</f>
        <v xml:space="preserve"> - </v>
      </c>
      <c r="AW9" s="508" t="str">
        <f>IF(ISNUMBER(Datos!DV9),Datos!DV9," - ")</f>
        <v xml:space="preserve"> - </v>
      </c>
      <c r="AX9" s="509" t="str">
        <f>IF(ISNUMBER(Datos!DW9),Datos!DW9," - ")</f>
        <v xml:space="preserve"> - </v>
      </c>
      <c r="AY9" s="508" t="str">
        <f>IF(ISNUMBER(Datos!DX9),Datos!DX9," - ")</f>
        <v xml:space="preserve"> - </v>
      </c>
      <c r="AZ9" s="509" t="str">
        <f>IF(ISNUMBER(Datos!DY9),Datos!DY9," - ")</f>
        <v xml:space="preserve"> - </v>
      </c>
      <c r="BA9" s="508"/>
      <c r="BB9" s="509"/>
      <c r="BC9" s="507" t="str">
        <f>IF(ISNUMBER(Datos!M9),Datos!M9," - ")</f>
        <v xml:space="preserve"> - </v>
      </c>
      <c r="BD9" s="620" t="str">
        <f>IF(ISNUMBER(Datos!N9),Datos!N9," - ")</f>
        <v xml:space="preserve"> - </v>
      </c>
      <c r="BE9" s="620" t="str">
        <f>IF(ISNUMBER(Datos!BW9),Datos!BW9," - ")</f>
        <v xml:space="preserve"> - </v>
      </c>
      <c r="BF9" s="668" t="str">
        <f>IF(ISNUMBER(Datos!BX9),Datos!BX9," - ")</f>
        <v xml:space="preserve"> - </v>
      </c>
      <c r="BG9" s="669" t="str">
        <f>IF(ISNUMBER(IF(J_V="SI",Datos!K9/Datos!J9,(Datos!K9+Datos!AA9)/(Datos!J9+Datos!Z9))),IF(J_V="SI",Datos!K9/Datos!J9,(Datos!K9+Datos!AA9)/(Datos!J9+Datos!Z9))," - ")</f>
        <v xml:space="preserve"> - </v>
      </c>
      <c r="BH9" s="670" t="str">
        <f>IF(ISNUMBER(((IF(J_V="SI",Datos!L9/Datos!K9,(Datos!L9+Datos!AB9)/(Datos!K9+Datos!AA9)))*11)/factor_trimestre),((IF(J_V="SI",Datos!L9/Datos!K9,(Datos!L9+Datos!AB9)/(Datos!K9+Datos!AA9)))*11)/factor_trimestre," - ")</f>
        <v xml:space="preserve"> - </v>
      </c>
      <c r="BI9" s="669"/>
      <c r="BJ9" s="510" t="str">
        <f>IF(ISNUMBER(Datos!CI9/Datos!CJ9),Datos!CI9/Datos!CJ9," - ")</f>
        <v xml:space="preserve"> - </v>
      </c>
      <c r="BK9" s="656" t="str">
        <f>IF(ISNUMBER(Datos!CJ9),Datos!CJ9," - ")</f>
        <v xml:space="preserve"> - </v>
      </c>
      <c r="BL9" s="510" t="str">
        <f>IF(ISNUMBER((J9-AB9+L9)/(F9)),(J9-AB9+L9)/(F9)," - ")</f>
        <v xml:space="preserve"> - </v>
      </c>
      <c r="BM9" s="673" t="str">
        <f>IF(ISNUMBER((Datos!P9-Datos!Q9+Datos!DE9)/(Datos!R9-Datos!P9+Datos!Q9-Datos!DE9)),(Datos!P9-Datos!Q9+Datos!DE9)/(Datos!R9-Datos!P9+Datos!Q9-Datos!DE9)," - ")</f>
        <v xml:space="preserve"> - </v>
      </c>
      <c r="BN9" s="660"/>
      <c r="BO9" s="660"/>
      <c r="BP9" s="634" t="str">
        <f>IF(ISNUMBER(Datos!EV9),Datos!EV9," - ")</f>
        <v xml:space="preserve"> - </v>
      </c>
      <c r="BQ9" s="634" t="str">
        <f>IF(ISNUMBER(Datos!CW9),Datos!CW9," - ")</f>
        <v xml:space="preserve"> - </v>
      </c>
      <c r="BR9" s="634"/>
      <c r="BS9" s="634"/>
      <c r="BT9" s="634">
        <f>Datos!CX9</f>
        <v>0</v>
      </c>
      <c r="BU9" s="511">
        <f>Datos!DU9</f>
        <v>0</v>
      </c>
      <c r="BV9" s="1269">
        <f>Datos!ER9/factor_trimestre</f>
        <v>327.27272727272731</v>
      </c>
    </row>
    <row r="10" spans="1:74" s="532" customFormat="1" ht="14.25">
      <c r="A10" s="653">
        <f>Datos!AO10</f>
        <v>1</v>
      </c>
      <c r="B10" s="654" t="s">
        <v>273</v>
      </c>
      <c r="C10" s="655" t="str">
        <f>Datos!A10</f>
        <v>Jdos. Violencia contra la mujer</v>
      </c>
      <c r="D10" s="549"/>
      <c r="E10" s="670">
        <f>IF(ISNUMBER(Datos!AQ10),Datos!AQ10," - ")</f>
        <v>0</v>
      </c>
      <c r="F10" s="507">
        <f>IF(ISNUMBER(Datos!L10+Datos!K10-Datos!J10),Datos!L10+Datos!K10-Datos!J10," - ")</f>
        <v>1</v>
      </c>
      <c r="G10" s="498">
        <f>IF(ISNUMBER(Datos!I10),Datos!I10," - ")</f>
        <v>1</v>
      </c>
      <c r="H10" s="502"/>
      <c r="I10" s="507" t="str">
        <f>IF(ISNUMBER(Datos!DB10),Datos!DB10," - ")</f>
        <v xml:space="preserve"> - </v>
      </c>
      <c r="J10" s="502" t="str">
        <f>IF(ISNUMBER(Datos!DC10),Datos!DC10," - ")</f>
        <v xml:space="preserve"> - </v>
      </c>
      <c r="K10" s="504" t="str">
        <f>IF(ISNUMBER(Datos!DD10),Datos!DD10," - ")</f>
        <v xml:space="preserve"> - </v>
      </c>
      <c r="L10" s="502">
        <f>IF(ISNUMBER(Datos!DF10),Datos!DF10,0)</f>
        <v>0</v>
      </c>
      <c r="M10" s="502">
        <f>IF(ISNUMBER(Datos!DM10),Datos!DM10,0)</f>
        <v>0</v>
      </c>
      <c r="N10" s="504"/>
      <c r="O10" s="504"/>
      <c r="P10" s="504"/>
      <c r="Q10" s="502">
        <f>IF(ISNUMBER(Datos!P10),Datos!P10,0)</f>
        <v>0</v>
      </c>
      <c r="R10" s="502" t="str">
        <f>IF(ISNUMBER(Datos!DE10),Datos!DE10," - ")</f>
        <v xml:space="preserve"> - </v>
      </c>
      <c r="S10" s="709"/>
      <c r="T10" s="709"/>
      <c r="U10" s="502" t="str">
        <f>IF(ISNUMBER(Datos!AS10/1),Datos!AS10/1," - ")</f>
        <v xml:space="preserve"> - </v>
      </c>
      <c r="V10" s="503" t="str">
        <f>IF(ISNUMBER(U10/(Datos!BM10/factor_trimestre)),U10/(Datos!BM10/factor_trimestre)," - ")</f>
        <v xml:space="preserve"> - </v>
      </c>
      <c r="W10" s="502" t="str">
        <f>IF(ISNUMBER(Datos!EO10),Datos!EO10," - ")</f>
        <v xml:space="preserve"> - </v>
      </c>
      <c r="X10" s="1139" t="e">
        <f>(W10/Datos!ER10)*factor_trimestre</f>
        <v>#VALUE!</v>
      </c>
      <c r="Y10" s="704"/>
      <c r="Z10" s="507" t="str">
        <f>IF(ISNUMBER(Datos!BY10),Datos!BY10," - ")</f>
        <v xml:space="preserve"> - </v>
      </c>
      <c r="AA10" s="503" t="str">
        <f>IF(ISNUMBER((Z10*factor_trimestre)/DatosB!CN10),(Z10*factor_trimestre)/DatosB!CN10,"-")</f>
        <v>-</v>
      </c>
      <c r="AB10" s="507">
        <f>IF(ISNUMBER(Datos!K10),Datos!K10," - ")</f>
        <v>1</v>
      </c>
      <c r="AC10" s="502">
        <f>IF(ISNUMBER(Datos!Q10),Datos!Q10," - ")</f>
        <v>0</v>
      </c>
      <c r="AD10" s="504"/>
      <c r="AE10" s="517"/>
      <c r="AF10" s="506">
        <f>IF(ISNUMBER(Datos!L10),Datos!L10,"-")</f>
        <v>2</v>
      </c>
      <c r="AG10" s="504"/>
      <c r="AH10" s="504"/>
      <c r="AI10" s="504"/>
      <c r="AJ10" s="504"/>
      <c r="AK10" s="504"/>
      <c r="AL10" s="505"/>
      <c r="AM10" s="672">
        <f>IF(ISNUMBER(Datos!R10),Datos!R10," - ")</f>
        <v>7</v>
      </c>
      <c r="AN10" s="504"/>
      <c r="AO10" s="504"/>
      <c r="AP10" s="504"/>
      <c r="AQ10" s="504"/>
      <c r="AR10" s="504"/>
      <c r="AS10" s="504" t="str">
        <f>IF(ISNUMBER(Datos!BV10),Datos!BV10," - ")</f>
        <v xml:space="preserve"> - </v>
      </c>
      <c r="AT10" s="507" t="str">
        <f>IF(ISNUMBER(Datos!CK10),Datos!CK10," - ")</f>
        <v xml:space="preserve"> - </v>
      </c>
      <c r="AU10" s="508" t="str">
        <f>IF(ISNUMBER(Datos!CL10),Datos!CL10," - ")</f>
        <v xml:space="preserve"> - </v>
      </c>
      <c r="AV10" s="509" t="str">
        <f>IF(ISNUMBER(Datos!CM10),Datos!CM10," - ")</f>
        <v xml:space="preserve"> - </v>
      </c>
      <c r="AW10" s="508" t="str">
        <f>IF(ISNUMBER(Datos!DV10),Datos!DV10," - ")</f>
        <v xml:space="preserve"> - </v>
      </c>
      <c r="AX10" s="509" t="str">
        <f>IF(ISNUMBER(Datos!DW10),Datos!DW10," - ")</f>
        <v xml:space="preserve"> - </v>
      </c>
      <c r="AY10" s="508" t="str">
        <f>IF(ISNUMBER(Datos!DX10),Datos!DX10," - ")</f>
        <v xml:space="preserve"> - </v>
      </c>
      <c r="AZ10" s="509" t="str">
        <f>IF(ISNUMBER(Datos!DY10),Datos!DY10," - ")</f>
        <v xml:space="preserve"> - </v>
      </c>
      <c r="BA10" s="508"/>
      <c r="BB10" s="509"/>
      <c r="BC10" s="507">
        <f>IF(ISNUMBER(Datos!M10),Datos!M10," - ")</f>
        <v>1</v>
      </c>
      <c r="BD10" s="620">
        <f>IF(ISNUMBER(Datos!N10),Datos!N10," - ")</f>
        <v>0</v>
      </c>
      <c r="BE10" s="620" t="str">
        <f>IF(ISNUMBER(Datos!BW10),Datos!BW10," - ")</f>
        <v xml:space="preserve"> - </v>
      </c>
      <c r="BF10" s="668" t="str">
        <f>IF(ISNUMBER(Datos!BX10),Datos!BX10," - ")</f>
        <v xml:space="preserve"> - </v>
      </c>
      <c r="BG10" s="669">
        <f>IF(ISNUMBER(Datos!K10/Datos!J10),Datos!K10/Datos!J10," - ")</f>
        <v>0.5</v>
      </c>
      <c r="BH10" s="670">
        <f>IF(ISNUMBER(((Datos!L10/Datos!K10)*11)/factor_trimestre),((Datos!L10/Datos!K10)*11)/factor_trimestre," - ")</f>
        <v>6</v>
      </c>
      <c r="BI10" s="669"/>
      <c r="BJ10" s="510" t="str">
        <f>IF(ISNUMBER(Datos!CI10/Datos!CJ10),Datos!CI10/Datos!CJ10," - ")</f>
        <v xml:space="preserve"> - </v>
      </c>
      <c r="BK10" s="656" t="str">
        <f>IF(ISNUMBER(Datos!CJ10),Datos!CJ10," - ")</f>
        <v xml:space="preserve"> - </v>
      </c>
      <c r="BL10" s="510" t="str">
        <f>IF(ISNUMBER((I10-AB10+L10)/(F10)),(I10-AB10+L10)/(F10)," - ")</f>
        <v xml:space="preserve"> - </v>
      </c>
      <c r="BM10" s="673">
        <f>IF(ISNUMBER((Datos!P10-Datos!Q10+Datos!DE10)/(Datos!R10-Datos!P10+Datos!Q10-Datos!DE10)),(Datos!P10-Datos!Q10+Datos!DE10)/(Datos!R10-Datos!P10+Datos!Q10-Datos!DE10)," - ")</f>
        <v>0</v>
      </c>
      <c r="BN10" s="660"/>
      <c r="BO10" s="660"/>
      <c r="BP10" s="634" t="str">
        <f>IF(ISNUMBER(Datos!EV10),Datos!EV10," - ")</f>
        <v xml:space="preserve"> - </v>
      </c>
      <c r="BQ10" s="634" t="str">
        <f>IF(ISNUMBER(Datos!CW10),Datos!CW10," - ")</f>
        <v xml:space="preserve"> - </v>
      </c>
      <c r="BR10" s="634"/>
      <c r="BS10" s="634"/>
      <c r="BT10" s="634">
        <f>Datos!CX10</f>
        <v>0</v>
      </c>
      <c r="BU10" s="511">
        <f>Datos!DU10</f>
        <v>0</v>
      </c>
      <c r="BV10" s="1269">
        <f>Datos!ER10/factor_trimestre</f>
        <v>436.36363636363637</v>
      </c>
    </row>
    <row r="11" spans="1:74" s="532" customFormat="1" ht="14.25">
      <c r="A11" s="653">
        <f>Datos!AO11</f>
        <v>0</v>
      </c>
      <c r="B11" s="654" t="s">
        <v>273</v>
      </c>
      <c r="C11" s="655" t="str">
        <f>Datos!A11</f>
        <v xml:space="preserve">Jdos. Familia                                   </v>
      </c>
      <c r="D11" s="549"/>
      <c r="E11" s="670">
        <f>IF(ISNUMBER(Datos!AQ11),Datos!AQ11," - ")</f>
        <v>0</v>
      </c>
      <c r="F11" s="507" t="str">
        <f>IF(ISNUMBER(AF11+AB11-I11-L11),AF11+AB11-I11-L11," - ")</f>
        <v xml:space="preserve"> - </v>
      </c>
      <c r="G11" s="498" t="str">
        <f>IF(ISNUMBER(IF(J_V="SI",Datos!I11,Datos!I11+Datos!Y11)-IF(Monitorios="SI",Datos!CA11,0)),
                          IF(J_V="SI",Datos!I11,Datos!I11+Datos!Y11)-IF(Monitorios="SI",Datos!CA11,0),
                          " - ")</f>
        <v xml:space="preserve"> - </v>
      </c>
      <c r="H11" s="502"/>
      <c r="I11" s="507" t="str">
        <f>IF(ISNUMBER(Datos!DC11),Datos!DC11," - ")</f>
        <v xml:space="preserve"> - </v>
      </c>
      <c r="J11" s="502" t="str">
        <f>IF(ISNUMBER(Datos!DB11),Datos!DB11," - ")</f>
        <v xml:space="preserve"> - </v>
      </c>
      <c r="K11" s="504" t="str">
        <f>IF(ISNUMBER(Datos!DD11),Datos!DD11," - ")</f>
        <v xml:space="preserve"> - </v>
      </c>
      <c r="L11" s="502">
        <f>IF(ISNUMBER(Datos!DF11),Datos!DF11,0)</f>
        <v>0</v>
      </c>
      <c r="M11" s="502">
        <f>IF(ISNUMBER(Datos!DM11),Datos!DM11,0)</f>
        <v>0</v>
      </c>
      <c r="N11" s="504" t="str">
        <f>IF(ISNUMBER(Datos!Z11),Datos!Z11," - ")</f>
        <v xml:space="preserve"> - </v>
      </c>
      <c r="O11" s="504"/>
      <c r="P11" s="504"/>
      <c r="Q11" s="502">
        <f>IF(ISNUMBER(Datos!P11),Datos!P11,0)</f>
        <v>0</v>
      </c>
      <c r="R11" s="502" t="str">
        <f>IF(ISNUMBER(Datos!DE11),Datos!DE11," - ")</f>
        <v xml:space="preserve"> - </v>
      </c>
      <c r="S11" s="709"/>
      <c r="T11" s="709"/>
      <c r="U11" s="502" t="str">
        <f>IF(ISNUMBER(Datos!AS11/1),Datos!AS11/1," - ")</f>
        <v xml:space="preserve"> - </v>
      </c>
      <c r="V11" s="503" t="str">
        <f>IF(ISNUMBER(U11/(Datos!BM11/factor_trimestre)),U11/(Datos!BM11/factor_trimestre)," - ")</f>
        <v xml:space="preserve"> - </v>
      </c>
      <c r="W11" s="502" t="str">
        <f>IF(ISNUMBER(Datos!EO11),Datos!EO11," - ")</f>
        <v xml:space="preserve"> - </v>
      </c>
      <c r="X11" s="1139" t="e">
        <f>(W11/Datos!ER11)*factor_trimestre</f>
        <v>#VALUE!</v>
      </c>
      <c r="Y11" s="704"/>
      <c r="Z11" s="507">
        <f>IF(ISNUMBER(Datos!BY11+Datos!BZ11),Datos!BY11+Datos!BZ11," - ")</f>
        <v>0</v>
      </c>
      <c r="AA11" s="503">
        <f>IF(ISNUMBER((Z11*factor_trimestre)/DatosB!CN11),(Z11*factor_trimestre)/DatosB!CN11,"-")</f>
        <v>0</v>
      </c>
      <c r="AB11" s="507" t="str">
        <f>IF(ISNUMBER(IF(J_V="SI",Datos!K11,Datos!K11+Datos!AA11)-IF(Monitorios="SI",Datos!CC11,0)),
                          IF(J_V="SI",Datos!K11,Datos!K11+Datos!AA11)-IF(Monitorios="SI",Datos!CC11,0),
                          " - ")</f>
        <v xml:space="preserve"> - </v>
      </c>
      <c r="AC11" s="502" t="str">
        <f>IF(ISNUMBER(Datos!Q11),Datos!Q11," - ")</f>
        <v xml:space="preserve"> - </v>
      </c>
      <c r="AD11" s="504"/>
      <c r="AE11" s="517"/>
      <c r="AF11" s="506" t="str">
        <f>IF(ISNUMBER(IF(J_V="SI",Datos!L11,Datos!L11+Datos!AB11)-IF(Monitorios="SI",Datos!CD11,0)),
                          IF(J_V="SI",Datos!L11,Datos!L11+Datos!AB11)-IF(Monitorios="SI",Datos!CD11,0),
                          " - ")</f>
        <v xml:space="preserve"> - </v>
      </c>
      <c r="AG11" s="504"/>
      <c r="AH11" s="504" t="str">
        <f>IF(ISNUMBER(Datos!AB11),Datos!AB11,"-")</f>
        <v>-</v>
      </c>
      <c r="AI11" s="504"/>
      <c r="AJ11" s="504"/>
      <c r="AK11" s="504"/>
      <c r="AL11" s="505"/>
      <c r="AM11" s="672" t="str">
        <f>IF(ISNUMBER(Datos!R11),Datos!R11," - ")</f>
        <v xml:space="preserve"> - </v>
      </c>
      <c r="AN11" s="504"/>
      <c r="AO11" s="504"/>
      <c r="AP11" s="504"/>
      <c r="AQ11" s="504"/>
      <c r="AR11" s="504"/>
      <c r="AS11" s="504" t="str">
        <f>IF(ISNUMBER(Datos!BV11),Datos!BV11," - ")</f>
        <v xml:space="preserve"> - </v>
      </c>
      <c r="AT11" s="507" t="str">
        <f>IF(ISNUMBER(Datos!CK11),Datos!CK11," - ")</f>
        <v xml:space="preserve"> - </v>
      </c>
      <c r="AU11" s="508" t="str">
        <f>IF(ISNUMBER(Datos!CL11),Datos!CL11," - ")</f>
        <v xml:space="preserve"> - </v>
      </c>
      <c r="AV11" s="509" t="str">
        <f>IF(ISNUMBER(Datos!CM11),Datos!CM11," - ")</f>
        <v xml:space="preserve"> - </v>
      </c>
      <c r="AW11" s="508" t="str">
        <f>IF(ISNUMBER(Datos!DV11),Datos!DV11," - ")</f>
        <v xml:space="preserve"> - </v>
      </c>
      <c r="AX11" s="509" t="str">
        <f>IF(ISNUMBER(Datos!DW11),Datos!DW11," - ")</f>
        <v xml:space="preserve"> - </v>
      </c>
      <c r="AY11" s="508" t="str">
        <f>IF(ISNUMBER(Datos!DX11),Datos!DX11," - ")</f>
        <v xml:space="preserve"> - </v>
      </c>
      <c r="AZ11" s="509" t="str">
        <f>IF(ISNUMBER(Datos!DY11),Datos!DY11," - ")</f>
        <v xml:space="preserve"> - </v>
      </c>
      <c r="BA11" s="508"/>
      <c r="BB11" s="509"/>
      <c r="BC11" s="507" t="str">
        <f>IF(ISNUMBER(Datos!M11),Datos!M11," - ")</f>
        <v xml:space="preserve"> - </v>
      </c>
      <c r="BD11" s="620" t="str">
        <f>IF(ISNUMBER(Datos!N11),Datos!N11," - ")</f>
        <v xml:space="preserve"> - </v>
      </c>
      <c r="BE11" s="620" t="str">
        <f>IF(ISNUMBER(Datos!BW11),Datos!BW11," - ")</f>
        <v xml:space="preserve"> - </v>
      </c>
      <c r="BF11" s="668" t="str">
        <f>IF(ISNUMBER(Datos!BX11),Datos!BX11," - ")</f>
        <v xml:space="preserve"> - </v>
      </c>
      <c r="BG11" s="669" t="str">
        <f>IF(ISNUMBER(IF(J_V="SI",Datos!K11/Datos!J11,(Datos!K11+Datos!AA11)/(Datos!J11+Datos!Z11))),IF(J_V="SI",Datos!K11/Datos!J11,(Datos!K11+Datos!AA11)/(Datos!J11+Datos!Z11))," - ")</f>
        <v xml:space="preserve"> - </v>
      </c>
      <c r="BH11" s="670" t="str">
        <f>IF(ISNUMBER(((IF(J_V="SI",Datos!L11/Datos!K11,(Datos!L11+Datos!AB11)/(Datos!K11+Datos!AA11)))*11)/factor_trimestre),((IF(J_V="SI",Datos!L11/Datos!K11,(Datos!L11+Datos!AB11)/(Datos!K11+Datos!AA11)))*11)/factor_trimestre," - ")</f>
        <v xml:space="preserve"> - </v>
      </c>
      <c r="BI11" s="669"/>
      <c r="BJ11" s="510" t="str">
        <f>IF(ISNUMBER(Datos!CI11/Datos!CJ11),Datos!CI11/Datos!CJ11," - ")</f>
        <v xml:space="preserve"> - </v>
      </c>
      <c r="BK11" s="656" t="str">
        <f>IF(ISNUMBER(Datos!CJ11),Datos!CJ11," - ")</f>
        <v xml:space="preserve"> - </v>
      </c>
      <c r="BL11" s="510" t="str">
        <f>IF(ISNUMBER((J11-AB11+L11)/(F11)),(J11-AB11+L11)/(F11)," - ")</f>
        <v xml:space="preserve"> - </v>
      </c>
      <c r="BM11" s="673" t="str">
        <f>IF(ISNUMBER((Datos!P11-Datos!Q11+Datos!DE11)/(Datos!R11-Datos!P11+Datos!Q11-Datos!DE11)),(Datos!P11-Datos!Q11+Datos!DE11)/(Datos!R11-Datos!P11+Datos!Q11-Datos!DE11)," - ")</f>
        <v xml:space="preserve"> - </v>
      </c>
      <c r="BN11" s="660"/>
      <c r="BO11" s="660"/>
      <c r="BP11" s="634" t="str">
        <f>IF(ISNUMBER(Datos!EV11),Datos!EV11," - ")</f>
        <v xml:space="preserve"> - </v>
      </c>
      <c r="BQ11" s="634" t="str">
        <f>IF(ISNUMBER(Datos!CW11),Datos!CW11," - ")</f>
        <v xml:space="preserve"> - </v>
      </c>
      <c r="BR11" s="634"/>
      <c r="BS11" s="634"/>
      <c r="BT11" s="634">
        <f>Datos!CX11</f>
        <v>0</v>
      </c>
      <c r="BU11" s="511">
        <f>Datos!DU11</f>
        <v>0</v>
      </c>
      <c r="BV11" s="1269">
        <f>Datos!ER11/factor_trimestre</f>
        <v>360.81818181818181</v>
      </c>
    </row>
    <row r="12" spans="1:74" s="532" customFormat="1" ht="14.25">
      <c r="A12" s="653">
        <f>Datos!AO12</f>
        <v>2</v>
      </c>
      <c r="B12" s="654" t="s">
        <v>273</v>
      </c>
      <c r="C12" s="655" t="str">
        <f>Datos!A12</f>
        <v xml:space="preserve">Jdos. 1ª Instª. e Instr.                        </v>
      </c>
      <c r="D12" s="549"/>
      <c r="E12" s="670">
        <f>IF(ISNUMBER(Datos!AQ12),Datos!AQ12," - ")</f>
        <v>2</v>
      </c>
      <c r="F12" s="507" t="str">
        <f>IF(ISNUMBER(AF12+AB12-I12-L12),AF12+AB12-I12-L12," - ")</f>
        <v xml:space="preserve"> - </v>
      </c>
      <c r="G12" s="498" t="str">
        <f>IF(ISNUMBER(IF(J_V="SI",Datos!I12,Datos!I12+Datos!Y12)-IF(Monitorios="SI",Datos!CA12,0)),
                          IF(J_V="SI",Datos!I12,Datos!I12+Datos!Y12)-IF(Monitorios="SI",Datos!CA12,0),
                          " - ")</f>
        <v xml:space="preserve"> - </v>
      </c>
      <c r="H12" s="502"/>
      <c r="I12" s="507" t="str">
        <f>IF(ISNUMBER(Datos!DC12),Datos!DC12," - ")</f>
        <v xml:space="preserve"> - </v>
      </c>
      <c r="J12" s="502" t="str">
        <f>IF(ISNUMBER(Datos!DB12),Datos!DB12," - ")</f>
        <v xml:space="preserve"> - </v>
      </c>
      <c r="K12" s="504" t="str">
        <f>IF(ISNUMBER(Datos!DD12),Datos!DD12," - ")</f>
        <v xml:space="preserve"> - </v>
      </c>
      <c r="L12" s="502">
        <f>IF(ISNUMBER(Datos!DF12),Datos!DF12,0)</f>
        <v>0</v>
      </c>
      <c r="M12" s="502">
        <f>IF(ISNUMBER(Datos!DM12),Datos!DM12,0)</f>
        <v>0</v>
      </c>
      <c r="N12" s="504">
        <f>IF(ISNUMBER(Datos!Z12),Datos!Z12," - ")</f>
        <v>27</v>
      </c>
      <c r="O12" s="504"/>
      <c r="P12" s="504"/>
      <c r="Q12" s="502">
        <f>IF(ISNUMBER(Datos!P12),Datos!P12,0)</f>
        <v>77</v>
      </c>
      <c r="R12" s="502" t="str">
        <f>IF(ISNUMBER(Datos!DE12),Datos!DE12," - ")</f>
        <v xml:space="preserve"> - </v>
      </c>
      <c r="S12" s="709"/>
      <c r="T12" s="709"/>
      <c r="U12" s="502" t="str">
        <f>IF(ISNUMBER(Datos!AS12/1),Datos!AS12/1," - ")</f>
        <v xml:space="preserve"> - </v>
      </c>
      <c r="V12" s="503" t="str">
        <f>IF(ISNUMBER(U12/(Datos!BM12/factor_trimestre)),U12/(Datos!BM12/factor_trimestre)," - ")</f>
        <v xml:space="preserve"> - </v>
      </c>
      <c r="W12" s="502" t="str">
        <f>IF(ISNUMBER(Datos!EO12),Datos!EO12," - ")</f>
        <v xml:space="preserve"> - </v>
      </c>
      <c r="X12" s="1139" t="e">
        <f>(W12/Datos!ER12)*factor_trimestre</f>
        <v>#VALUE!</v>
      </c>
      <c r="Y12" s="704" t="str">
        <f>IF(ISNUMBER(Datos!CB12),Datos!CB12," - ")</f>
        <v xml:space="preserve"> - </v>
      </c>
      <c r="Z12" s="507" t="str">
        <f>IF(ISNUMBER(Datos!BY12),Datos!BY12," - ")</f>
        <v xml:space="preserve"> - </v>
      </c>
      <c r="AA12" s="503" t="str">
        <f>IF(ISNUMBER((Z12*factor_trimestre)/DatosB!CN12),(Z12*factor_trimestre)/DatosB!CN12,"-")</f>
        <v>-</v>
      </c>
      <c r="AB12" s="507" t="str">
        <f>IF(ISNUMBER(IF(J_V="SI",Datos!K12,Datos!K12+Datos!AA12)-IF(Monitorios="SI",Datos!CC12,0)),
                          IF(J_V="SI",Datos!K12,Datos!K12+Datos!AA12)-IF(Monitorios="SI",Datos!CC12,0),
                          " - ")</f>
        <v xml:space="preserve"> - </v>
      </c>
      <c r="AC12" s="502">
        <f>IF(ISNUMBER(Datos!Q12),Datos!Q12," - ")</f>
        <v>33</v>
      </c>
      <c r="AD12" s="504" t="str">
        <f>IF(ISNUMBER(Datos!CC12),Datos!CC12," - ")</f>
        <v xml:space="preserve"> - </v>
      </c>
      <c r="AE12" s="517" t="str">
        <f>IF(ISNUMBER(Datos!EM12),Datos!EM12," - ")</f>
        <v xml:space="preserve"> - </v>
      </c>
      <c r="AF12" s="506" t="str">
        <f>IF(ISNUMBER(IF(J_V="SI",Datos!L12,Datos!L12+Datos!AB12)-IF(Monitorios="SI",Datos!CD12,0)),
                          IF(J_V="SI",Datos!L12,Datos!L12+Datos!AB12)-IF(Monitorios="SI",Datos!CD12,0),
                          " - ")</f>
        <v xml:space="preserve"> - </v>
      </c>
      <c r="AG12" s="504"/>
      <c r="AH12" s="504">
        <f>IF(ISNUMBER(Datos!AB12),Datos!AB12,"-")</f>
        <v>24</v>
      </c>
      <c r="AI12" s="504" t="str">
        <f>IF(ISNUMBER(Datos!CD12),Datos!CD12,"-")</f>
        <v>-</v>
      </c>
      <c r="AJ12" s="504" t="str">
        <f>IF(ISNUMBER(Datos!EN12),Datos!EN12," - ")</f>
        <v xml:space="preserve"> - </v>
      </c>
      <c r="AK12" s="504"/>
      <c r="AL12" s="505"/>
      <c r="AM12" s="672">
        <f>IF(ISNUMBER(Datos!R12),Datos!R12," - ")</f>
        <v>1356</v>
      </c>
      <c r="AN12" s="504"/>
      <c r="AO12" s="504"/>
      <c r="AP12" s="504"/>
      <c r="AQ12" s="504"/>
      <c r="AR12" s="504"/>
      <c r="AS12" s="504" t="str">
        <f>IF(ISNUMBER(Datos!BV12),Datos!BV12," - ")</f>
        <v xml:space="preserve"> - </v>
      </c>
      <c r="AT12" s="507" t="str">
        <f>IF(ISNUMBER(Datos!CK12),Datos!CK12," - ")</f>
        <v xml:space="preserve"> - </v>
      </c>
      <c r="AU12" s="508" t="str">
        <f>IF(ISNUMBER(Datos!CL12),Datos!CL12," - ")</f>
        <v xml:space="preserve"> - </v>
      </c>
      <c r="AV12" s="509" t="str">
        <f>IF(ISNUMBER(Datos!CM12),Datos!CM12," - ")</f>
        <v xml:space="preserve"> - </v>
      </c>
      <c r="AW12" s="508" t="str">
        <f>IF(ISNUMBER(Datos!DV12),Datos!DV12," - ")</f>
        <v xml:space="preserve"> - </v>
      </c>
      <c r="AX12" s="509" t="str">
        <f>IF(ISNUMBER(Datos!DW12),Datos!DW12," - ")</f>
        <v xml:space="preserve"> - </v>
      </c>
      <c r="AY12" s="508" t="str">
        <f>IF(ISNUMBER(Datos!DX12),Datos!DX12," - ")</f>
        <v xml:space="preserve"> - </v>
      </c>
      <c r="AZ12" s="509" t="str">
        <f>IF(ISNUMBER(Datos!DY12),Datos!DY12," - ")</f>
        <v xml:space="preserve"> - </v>
      </c>
      <c r="BA12" s="508"/>
      <c r="BB12" s="509"/>
      <c r="BC12" s="507">
        <f>IF(ISNUMBER(Datos!M12),Datos!M12," - ")</f>
        <v>83</v>
      </c>
      <c r="BD12" s="620">
        <f>IF(ISNUMBER(Datos!N12),Datos!N12," - ")</f>
        <v>114</v>
      </c>
      <c r="BE12" s="620" t="str">
        <f>IF(ISNUMBER(Datos!BW12),Datos!BW12," - ")</f>
        <v xml:space="preserve"> - </v>
      </c>
      <c r="BF12" s="668" t="str">
        <f>IF(ISNUMBER(Datos!BX12),Datos!BX12," - ")</f>
        <v xml:space="preserve"> - </v>
      </c>
      <c r="BG12" s="669">
        <f>IF(ISNUMBER(IF(J_V="SI",Datos!K12/Datos!J12,(Datos!K12+Datos!AA12)/(Datos!J12+Datos!Z12))),IF(J_V="SI",Datos!K12/Datos!J12,(Datos!K12+Datos!AA12)/(Datos!J12+Datos!Z12))," - ")</f>
        <v>0.88450704225352117</v>
      </c>
      <c r="BH12" s="670">
        <f>IF(ISNUMBER(((IF(J_V="SI",Datos!L12/Datos!K12,(Datos!L12+Datos!AB12)/(Datos!K12+Datos!AA12)))*11)/factor_trimestre),((IF(J_V="SI",Datos!L12/Datos!K12,(Datos!L12+Datos!AB12)/(Datos!K12+Datos!AA12)))*11)/factor_trimestre," - ")</f>
        <v>10.280254777070065</v>
      </c>
      <c r="BI12" s="669"/>
      <c r="BJ12" s="510" t="str">
        <f>IF(ISNUMBER(Datos!CI12/Datos!CJ12),Datos!CI12/Datos!CJ12," - ")</f>
        <v xml:space="preserve"> - </v>
      </c>
      <c r="BK12" s="656" t="str">
        <f>IF(ISNUMBER(Datos!CJ12),Datos!CJ12," - ")</f>
        <v xml:space="preserve"> - </v>
      </c>
      <c r="BL12" s="510" t="str">
        <f>IF(ISNUMBER((J12-AB12+L12)/(F12)),(J12-AB12+L12)/(F12)," - ")</f>
        <v xml:space="preserve"> - </v>
      </c>
      <c r="BM12" s="673">
        <f>IF(ISNUMBER((Datos!P12-Datos!Q12+Datos!DE12)/(Datos!R12-Datos!P12+Datos!Q12-Datos!DE12)),(Datos!P12-Datos!Q12+Datos!DE12)/(Datos!R12-Datos!P12+Datos!Q12-Datos!DE12)," - ")</f>
        <v>3.3536585365853661E-2</v>
      </c>
      <c r="BN12" s="660"/>
      <c r="BO12" s="660"/>
      <c r="BP12" s="634" t="str">
        <f>IF(ISNUMBER(Datos!EV12),Datos!EV12," - ")</f>
        <v xml:space="preserve"> - </v>
      </c>
      <c r="BQ12" s="634" t="str">
        <f>IF(ISNUMBER(Datos!CW12),Datos!CW12," - ")</f>
        <v xml:space="preserve"> - </v>
      </c>
      <c r="BR12" s="634"/>
      <c r="BS12" s="634"/>
      <c r="BT12" s="634">
        <f>Datos!CX12</f>
        <v>0</v>
      </c>
      <c r="BU12" s="511">
        <f>Datos!DU12</f>
        <v>0</v>
      </c>
      <c r="BV12" s="1269">
        <f>Datos!ER12/factor_trimestre</f>
        <v>185.45454545454547</v>
      </c>
    </row>
    <row r="13" spans="1:74" s="532" customFormat="1" ht="15" thickBot="1">
      <c r="A13" s="653">
        <f>Datos!AO13</f>
        <v>0</v>
      </c>
      <c r="B13" s="654" t="s">
        <v>273</v>
      </c>
      <c r="C13" s="655" t="str">
        <f>Datos!A13</f>
        <v xml:space="preserve">Jdos. de Menores    </v>
      </c>
      <c r="D13" s="549"/>
      <c r="E13" s="670">
        <f>IF(ISNUMBER(Datos!AQ13),Datos!AQ13," - ")</f>
        <v>0</v>
      </c>
      <c r="F13" s="507" t="str">
        <f>IF(ISNUMBER(Datos!L13+Datos!K13-Datos!J13-L13),Datos!L13+Datos!K13-Datos!J13-L13," - ")</f>
        <v xml:space="preserve"> - </v>
      </c>
      <c r="G13" s="498" t="str">
        <f>IF(ISNUMBER(Datos!I13),Datos!I13," - ")</f>
        <v xml:space="preserve"> - </v>
      </c>
      <c r="H13" s="502"/>
      <c r="I13" s="507" t="str">
        <f>IF(ISNUMBER(Datos!DB13),Datos!DB13," - ")</f>
        <v xml:space="preserve"> - </v>
      </c>
      <c r="J13" s="502" t="str">
        <f>IF(ISNUMBER(Datos!DC13),Datos!DC13," - ")</f>
        <v xml:space="preserve"> - </v>
      </c>
      <c r="K13" s="504" t="str">
        <f>IF(ISNUMBER(Datos!DD13),Datos!DD13," - ")</f>
        <v xml:space="preserve"> - </v>
      </c>
      <c r="L13" s="502">
        <f>IF(ISNUMBER(Datos!DF13),Datos!DF13,0)</f>
        <v>0</v>
      </c>
      <c r="M13" s="502">
        <f>IF(ISNUMBER(Datos!DM13),Datos!DM13,0)</f>
        <v>0</v>
      </c>
      <c r="N13" s="504"/>
      <c r="O13" s="504"/>
      <c r="P13" s="504"/>
      <c r="Q13" s="502">
        <f>IF(ISNUMBER(Datos!P13),Datos!P13,0)</f>
        <v>0</v>
      </c>
      <c r="R13" s="502" t="str">
        <f>IF(ISNUMBER(Datos!DE13),Datos!DE13," - ")</f>
        <v xml:space="preserve"> - </v>
      </c>
      <c r="S13" s="709"/>
      <c r="T13" s="709"/>
      <c r="U13" s="502" t="str">
        <f>IF(ISNUMBER(Datos!AS13/1),Datos!AS13/1," - ")</f>
        <v xml:space="preserve"> - </v>
      </c>
      <c r="V13" s="503" t="str">
        <f>IF(ISNUMBER(U13/(Datos!BM13/factor_trimestre)),U13/(Datos!BM13/factor_trimestre)," - ")</f>
        <v xml:space="preserve"> - </v>
      </c>
      <c r="W13" s="502" t="str">
        <f>IF(ISNUMBER(Datos!EO13),Datos!EO13," - ")</f>
        <v xml:space="preserve"> - </v>
      </c>
      <c r="X13" s="1139" t="e">
        <f>(W13/Datos!ER13)*factor_trimestre</f>
        <v>#VALUE!</v>
      </c>
      <c r="Y13" s="704"/>
      <c r="Z13" s="507" t="str">
        <f>IF(ISNUMBER(Datos!BY13),Datos!BY13," - ")</f>
        <v xml:space="preserve"> - </v>
      </c>
      <c r="AA13" s="503" t="str">
        <f>IF(ISNUMBER((Z13*factor_trimestre)/DatosB!CN13),(Z13*factor_trimestre)/DatosB!CN13,"-")</f>
        <v>-</v>
      </c>
      <c r="AB13" s="507" t="str">
        <f>IF(ISNUMBER(Datos!K13),Datos!K13," - ")</f>
        <v xml:space="preserve"> - </v>
      </c>
      <c r="AC13" s="502" t="str">
        <f>IF(ISNUMBER(Datos!Q13),Datos!Q13," - ")</f>
        <v xml:space="preserve"> - </v>
      </c>
      <c r="AD13" s="504"/>
      <c r="AE13" s="517"/>
      <c r="AF13" s="506" t="str">
        <f>IF(ISNUMBER(Datos!L13),Datos!L13,"-")</f>
        <v>-</v>
      </c>
      <c r="AG13" s="504"/>
      <c r="AH13" s="504"/>
      <c r="AI13" s="504"/>
      <c r="AJ13" s="504"/>
      <c r="AK13" s="504"/>
      <c r="AL13" s="505"/>
      <c r="AM13" s="672" t="str">
        <f>IF(ISNUMBER(Datos!R13),Datos!R13," - ")</f>
        <v xml:space="preserve"> - </v>
      </c>
      <c r="AN13" s="504"/>
      <c r="AO13" s="504"/>
      <c r="AP13" s="504"/>
      <c r="AQ13" s="504"/>
      <c r="AR13" s="504"/>
      <c r="AS13" s="504" t="str">
        <f>IF(ISNUMBER(Datos!BV13),Datos!BV13," - ")</f>
        <v xml:space="preserve"> - </v>
      </c>
      <c r="AT13" s="507" t="str">
        <f>IF(ISNUMBER(Datos!CK13),Datos!CK13," - ")</f>
        <v xml:space="preserve"> - </v>
      </c>
      <c r="AU13" s="508" t="str">
        <f>IF(ISNUMBER(Datos!CL13),Datos!CL13," - ")</f>
        <v xml:space="preserve"> - </v>
      </c>
      <c r="AV13" s="509" t="str">
        <f>IF(ISNUMBER(Datos!CM13),Datos!CM13," - ")</f>
        <v xml:space="preserve"> - </v>
      </c>
      <c r="AW13" s="508" t="str">
        <f>IF(ISNUMBER(Datos!DV13),Datos!DV13," - ")</f>
        <v xml:space="preserve"> - </v>
      </c>
      <c r="AX13" s="509" t="str">
        <f>IF(ISNUMBER(Datos!DW13),Datos!DW13," - ")</f>
        <v xml:space="preserve"> - </v>
      </c>
      <c r="AY13" s="508" t="str">
        <f>IF(ISNUMBER(Datos!DX13),Datos!DX13," - ")</f>
        <v xml:space="preserve"> - </v>
      </c>
      <c r="AZ13" s="509" t="str">
        <f>IF(ISNUMBER(Datos!DY13),Datos!DY13," - ")</f>
        <v xml:space="preserve"> - </v>
      </c>
      <c r="BA13" s="508"/>
      <c r="BB13" s="509"/>
      <c r="BC13" s="507" t="str">
        <f>IF(ISNUMBER(Datos!M13),Datos!M13," - ")</f>
        <v xml:space="preserve"> - </v>
      </c>
      <c r="BD13" s="620" t="str">
        <f>IF(ISNUMBER(Datos!N13),Datos!N13," - ")</f>
        <v xml:space="preserve"> - </v>
      </c>
      <c r="BE13" s="620" t="str">
        <f>IF(ISNUMBER(Datos!BW13),Datos!BW13," - ")</f>
        <v xml:space="preserve"> - </v>
      </c>
      <c r="BF13" s="668" t="str">
        <f>IF(ISNUMBER(Datos!BX13),Datos!BX13," - ")</f>
        <v xml:space="preserve"> - </v>
      </c>
      <c r="BG13" s="669" t="str">
        <f>IF(ISNUMBER(Datos!K13/Datos!J13),Datos!K13/Datos!J13," - ")</f>
        <v xml:space="preserve"> - </v>
      </c>
      <c r="BH13" s="670" t="str">
        <f>IF(ISNUMBER(((Datos!L13/Datos!K13)*11)/factor_trimestre),((Datos!L13/Datos!K13)*11)/factor_trimestre," - ")</f>
        <v xml:space="preserve"> - </v>
      </c>
      <c r="BI13" s="669"/>
      <c r="BJ13" s="510" t="str">
        <f>IF(ISNUMBER(Datos!CI13/Datos!CJ13),Datos!CI13/Datos!CJ13," - ")</f>
        <v xml:space="preserve"> - </v>
      </c>
      <c r="BK13" s="656" t="str">
        <f>IF(ISNUMBER(Datos!CJ13),Datos!CJ13," - ")</f>
        <v xml:space="preserve"> - </v>
      </c>
      <c r="BL13" s="510" t="str">
        <f t="shared" ref="BL13" si="0">IF(ISNUMBER((I13-AB13+L13)/(F13)),(I13-AB13+L13)/(F13)," - ")</f>
        <v xml:space="preserve"> - </v>
      </c>
      <c r="BM13" s="673" t="str">
        <f>IF(ISNUMBER((Datos!P13-Datos!Q13+Datos!DE13)/(Datos!R13-Datos!P13+Datos!Q13-Datos!DE13)),(Datos!P13-Datos!Q13+Datos!DE13)/(Datos!R13-Datos!P13+Datos!Q13-Datos!DE13)," - ")</f>
        <v xml:space="preserve"> - </v>
      </c>
      <c r="BN13" s="660"/>
      <c r="BO13" s="660"/>
      <c r="BP13" s="634" t="str">
        <f>IF(ISNUMBER(Datos!EV13),Datos!EV13," - ")</f>
        <v xml:space="preserve"> - </v>
      </c>
      <c r="BQ13" s="634" t="str">
        <f>IF(ISNUMBER(Datos!CW13),Datos!CW13," - ")</f>
        <v xml:space="preserve"> - </v>
      </c>
      <c r="BR13" s="634"/>
      <c r="BS13" s="634"/>
      <c r="BT13" s="634">
        <f>Datos!CX13</f>
        <v>0</v>
      </c>
      <c r="BU13" s="511">
        <f>Datos!DU13</f>
        <v>0</v>
      </c>
      <c r="BV13" s="1269">
        <f>Datos!ER13/factor_trimestre</f>
        <v>238.63636363636365</v>
      </c>
    </row>
    <row r="14" spans="1:74" ht="15.75" thickTop="1" thickBot="1">
      <c r="A14" s="183"/>
      <c r="B14" s="183"/>
      <c r="C14" s="1010" t="str">
        <f>Datos!A14</f>
        <v>TOTAL</v>
      </c>
      <c r="D14" s="1044"/>
      <c r="E14" s="1333">
        <f t="shared" ref="E14:Z14" si="1">SUBTOTAL(9,E8:E13)</f>
        <v>2</v>
      </c>
      <c r="F14" s="1045">
        <f t="shared" si="1"/>
        <v>1</v>
      </c>
      <c r="G14" s="1045">
        <f t="shared" si="1"/>
        <v>1</v>
      </c>
      <c r="H14" s="1046">
        <f t="shared" si="1"/>
        <v>0</v>
      </c>
      <c r="I14" s="1045">
        <f t="shared" si="1"/>
        <v>0</v>
      </c>
      <c r="J14" s="1014">
        <f t="shared" si="1"/>
        <v>0</v>
      </c>
      <c r="K14" s="1014">
        <f t="shared" si="1"/>
        <v>0</v>
      </c>
      <c r="L14" s="1046">
        <f t="shared" si="1"/>
        <v>0</v>
      </c>
      <c r="M14" s="1046">
        <f t="shared" si="1"/>
        <v>0</v>
      </c>
      <c r="N14" s="1046">
        <f t="shared" si="1"/>
        <v>27</v>
      </c>
      <c r="O14" s="1047">
        <f t="shared" si="1"/>
        <v>0</v>
      </c>
      <c r="P14" s="1047">
        <f t="shared" si="1"/>
        <v>0</v>
      </c>
      <c r="Q14" s="1046">
        <f t="shared" si="1"/>
        <v>77</v>
      </c>
      <c r="R14" s="1046">
        <f t="shared" si="1"/>
        <v>0</v>
      </c>
      <c r="S14" s="1048">
        <f t="shared" si="1"/>
        <v>0</v>
      </c>
      <c r="T14" s="1048">
        <f t="shared" si="1"/>
        <v>0</v>
      </c>
      <c r="U14" s="1046">
        <f t="shared" si="1"/>
        <v>0</v>
      </c>
      <c r="V14" s="1276">
        <f t="shared" si="1"/>
        <v>0</v>
      </c>
      <c r="W14" s="1014">
        <f t="shared" si="1"/>
        <v>0</v>
      </c>
      <c r="X14" s="1140" t="e">
        <f t="shared" si="1"/>
        <v>#VALUE!</v>
      </c>
      <c r="Y14" s="1047">
        <f t="shared" si="1"/>
        <v>0</v>
      </c>
      <c r="Z14" s="1046">
        <f t="shared" si="1"/>
        <v>0</v>
      </c>
      <c r="AA14" s="1049">
        <f>IF(ISNUMBER((Z14*factor_trimestre)/Datos!CN14),(Z14*factor_trimestre)/Datos!CN14,"-")</f>
        <v>0</v>
      </c>
      <c r="AB14" s="1046">
        <f t="shared" ref="AB14:BF14" si="2">SUBTOTAL(9,AB8:AB13)</f>
        <v>1</v>
      </c>
      <c r="AC14" s="1046">
        <f t="shared" si="2"/>
        <v>33</v>
      </c>
      <c r="AD14" s="1046">
        <f t="shared" si="2"/>
        <v>0</v>
      </c>
      <c r="AE14" s="1046">
        <f t="shared" si="2"/>
        <v>0</v>
      </c>
      <c r="AF14" s="1046">
        <f t="shared" si="2"/>
        <v>2</v>
      </c>
      <c r="AG14" s="1046">
        <f t="shared" si="2"/>
        <v>0</v>
      </c>
      <c r="AH14" s="1046">
        <f t="shared" si="2"/>
        <v>24</v>
      </c>
      <c r="AI14" s="1046">
        <f t="shared" si="2"/>
        <v>0</v>
      </c>
      <c r="AJ14" s="1046">
        <f t="shared" si="2"/>
        <v>0</v>
      </c>
      <c r="AK14" s="1046">
        <f t="shared" si="2"/>
        <v>0</v>
      </c>
      <c r="AL14" s="1046">
        <f t="shared" si="2"/>
        <v>0</v>
      </c>
      <c r="AM14" s="1046">
        <f t="shared" si="2"/>
        <v>1363</v>
      </c>
      <c r="AN14" s="1046">
        <f t="shared" si="2"/>
        <v>0</v>
      </c>
      <c r="AO14" s="1046">
        <f t="shared" si="2"/>
        <v>0</v>
      </c>
      <c r="AP14" s="1046">
        <f t="shared" si="2"/>
        <v>0</v>
      </c>
      <c r="AQ14" s="1046">
        <f t="shared" si="2"/>
        <v>0</v>
      </c>
      <c r="AR14" s="1046">
        <f t="shared" si="2"/>
        <v>0</v>
      </c>
      <c r="AS14" s="1046">
        <f t="shared" si="2"/>
        <v>0</v>
      </c>
      <c r="AT14" s="1046">
        <f t="shared" si="2"/>
        <v>0</v>
      </c>
      <c r="AU14" s="1046">
        <f t="shared" si="2"/>
        <v>0</v>
      </c>
      <c r="AV14" s="1046">
        <f t="shared" si="2"/>
        <v>0</v>
      </c>
      <c r="AW14" s="1046">
        <f t="shared" si="2"/>
        <v>0</v>
      </c>
      <c r="AX14" s="1046">
        <f t="shared" si="2"/>
        <v>0</v>
      </c>
      <c r="AY14" s="1046">
        <f t="shared" si="2"/>
        <v>0</v>
      </c>
      <c r="AZ14" s="1046">
        <f t="shared" si="2"/>
        <v>0</v>
      </c>
      <c r="BA14" s="1046">
        <f t="shared" si="2"/>
        <v>0</v>
      </c>
      <c r="BB14" s="1046">
        <f t="shared" si="2"/>
        <v>0</v>
      </c>
      <c r="BC14" s="1046">
        <f t="shared" si="2"/>
        <v>84</v>
      </c>
      <c r="BD14" s="1046">
        <f t="shared" si="2"/>
        <v>114</v>
      </c>
      <c r="BE14" s="1046">
        <f t="shared" si="2"/>
        <v>0</v>
      </c>
      <c r="BF14" s="1046">
        <f t="shared" si="2"/>
        <v>0</v>
      </c>
      <c r="BG14" s="1046">
        <f>IF(ISNUMBER(Datos!K14/Datos!J14),Datos!K14/Datos!J14," - ")</f>
        <v>0.84242424242424241</v>
      </c>
      <c r="BH14" s="1050">
        <f>IF(ISNUMBER(((Datos!L14/Datos!K14)*11)/factor_trimestre),((Datos!L14/Datos!K14)*11)/factor_trimestre," - ")</f>
        <v>11.37410071942446</v>
      </c>
      <c r="BI14" s="1046">
        <f>IF(ISNUMBER('Resol  Asuntos'!D14/NºAsuntos!G14),'Resol  Asuntos'!D14/NºAsuntos!G14," - ")</f>
        <v>0.26666666666666666</v>
      </c>
      <c r="BJ14" s="1046" t="str">
        <f>IF(ISNUMBER(Datos!CI14/Datos!CJ14),Datos!CI14/Datos!CJ14," - ")</f>
        <v xml:space="preserve"> - </v>
      </c>
      <c r="BK14" s="1046">
        <f>SUBTOTAL(9,BK8:BK13)</f>
        <v>0</v>
      </c>
      <c r="BL14" s="1046">
        <f>IF(ISNUMBER((I14-AB14+L14)/(F14)),(I14-AB14+L14)/(F14)," - ")</f>
        <v>-1</v>
      </c>
      <c r="BM14" s="1051">
        <f>SUBTOTAL(9,BM9:BM13)</f>
        <v>3.3536585365853661E-2</v>
      </c>
      <c r="BN14" s="1046">
        <f t="shared" ref="BN14:BV14" si="3">SUBTOTAL(9,BN8:BN13)</f>
        <v>0</v>
      </c>
      <c r="BO14" s="1046">
        <f t="shared" si="3"/>
        <v>0</v>
      </c>
      <c r="BP14" s="1046">
        <f t="shared" si="3"/>
        <v>0</v>
      </c>
      <c r="BQ14" s="1046">
        <f t="shared" si="3"/>
        <v>0</v>
      </c>
      <c r="BR14" s="1046">
        <f t="shared" si="3"/>
        <v>0</v>
      </c>
      <c r="BS14" s="1046">
        <f t="shared" si="3"/>
        <v>0</v>
      </c>
      <c r="BT14" s="1046">
        <f t="shared" si="3"/>
        <v>0</v>
      </c>
      <c r="BU14" s="1046">
        <f t="shared" si="3"/>
        <v>0</v>
      </c>
      <c r="BV14" s="1056">
        <f t="shared" si="3"/>
        <v>1548.5454545454547</v>
      </c>
    </row>
    <row r="15" spans="1:74" ht="15" thickTop="1">
      <c r="A15" s="551"/>
      <c r="B15" s="551"/>
      <c r="C15" s="291" t="str">
        <f>Datos!A15</f>
        <v xml:space="preserve">Jurisdicción Penal ( 2 ):                      </v>
      </c>
      <c r="D15" s="553"/>
      <c r="E15" s="554"/>
      <c r="F15" s="555"/>
      <c r="G15" s="556"/>
      <c r="H15" s="541"/>
      <c r="I15" s="540"/>
      <c r="J15" s="222"/>
      <c r="K15" s="222"/>
      <c r="L15" s="541"/>
      <c r="M15" s="231"/>
      <c r="N15" s="242"/>
      <c r="O15" s="541"/>
      <c r="P15" s="541"/>
      <c r="Q15" s="231"/>
      <c r="R15" s="231"/>
      <c r="S15" s="542"/>
      <c r="T15" s="542"/>
      <c r="U15" s="231"/>
      <c r="V15" s="347"/>
      <c r="W15" s="305"/>
      <c r="X15" s="1141"/>
      <c r="Y15" s="666"/>
      <c r="Z15" s="230"/>
      <c r="AA15" s="499"/>
      <c r="AB15" s="230"/>
      <c r="AC15" s="231"/>
      <c r="AD15" s="242"/>
      <c r="AE15" s="242"/>
      <c r="AF15" s="540"/>
      <c r="AG15" s="344"/>
      <c r="AH15" s="344"/>
      <c r="AI15" s="344"/>
      <c r="AJ15" s="344"/>
      <c r="AK15" s="344"/>
      <c r="AL15" s="500"/>
      <c r="AM15" s="345"/>
      <c r="AN15" s="344"/>
      <c r="AO15" s="344"/>
      <c r="AP15" s="344"/>
      <c r="AQ15" s="344"/>
      <c r="AR15" s="344"/>
      <c r="AS15" s="344"/>
      <c r="AT15" s="230"/>
      <c r="AU15" s="303"/>
      <c r="AV15" s="232"/>
      <c r="AW15" s="303"/>
      <c r="AX15" s="232"/>
      <c r="AY15" s="303"/>
      <c r="AZ15" s="232"/>
      <c r="BA15" s="303"/>
      <c r="BB15" s="232"/>
      <c r="BC15" s="230"/>
      <c r="BD15" s="234"/>
      <c r="BE15" s="234"/>
      <c r="BF15" s="233"/>
      <c r="BG15" s="669"/>
      <c r="BH15" s="670"/>
      <c r="BI15" s="248"/>
      <c r="BJ15" s="235"/>
      <c r="BK15" s="370"/>
      <c r="BL15" s="235"/>
      <c r="BM15" s="309"/>
      <c r="BN15" s="639"/>
      <c r="BO15" s="639"/>
      <c r="BP15" s="271"/>
      <c r="BQ15" s="271"/>
      <c r="BR15" s="558"/>
      <c r="BS15" s="558"/>
      <c r="BT15" s="271"/>
      <c r="BU15" s="501"/>
      <c r="BV15" s="1270"/>
    </row>
    <row r="16" spans="1:74" s="652" customFormat="1" ht="14.25">
      <c r="A16" s="646">
        <f>Datos!AO16</f>
        <v>0</v>
      </c>
      <c r="B16" s="647" t="s">
        <v>437</v>
      </c>
      <c r="C16" s="657" t="str">
        <f>Datos!A16</f>
        <v xml:space="preserve">Jdos. Instrucción                               </v>
      </c>
      <c r="D16" s="658"/>
      <c r="E16" s="1334">
        <f>IF(ISNUMBER(Datos!AQ16),Datos!AQ16," - ")</f>
        <v>0</v>
      </c>
      <c r="F16" s="648" t="str">
        <f>IF(ISNUMBER(AF16+AB16-Datos!J16-L16),AF16+AB16-Datos!J16-L16," - ")</f>
        <v xml:space="preserve"> - </v>
      </c>
      <c r="G16" s="651" t="str">
        <f>IF(ISNUMBER(IF(D_I="SI",Datos!I16,Datos!I16+Datos!AC16)),IF(D_I="SI",Datos!I16,Datos!I16+Datos!AC16)," - ")</f>
        <v xml:space="preserve"> - </v>
      </c>
      <c r="H16" s="659"/>
      <c r="I16" s="648" t="str">
        <f>IF(ISNUMBER(Datos!DC16),Datos!DC16," - ")</f>
        <v xml:space="preserve"> - </v>
      </c>
      <c r="J16" s="231" t="str">
        <f>IF(ISNUMBER(Datos!DC16),Datos!DC16," - ")</f>
        <v xml:space="preserve"> - </v>
      </c>
      <c r="K16" s="675"/>
      <c r="L16" s="659">
        <f>IF(ISNUMBER(Datos!DF16),Datos!DF16,0)</f>
        <v>0</v>
      </c>
      <c r="M16" s="231">
        <f>IF(ISNUMBER(Datos!DM16),Datos!DM16,0)</f>
        <v>0</v>
      </c>
      <c r="N16" s="504"/>
      <c r="O16" s="675" t="str">
        <f>IF(ISNUMBER(Datos!EB16),Datos!EB16," - ")</f>
        <v xml:space="preserve"> - </v>
      </c>
      <c r="P16" s="675" t="str">
        <f>IF(ISNUMBER(Datos!EC16),Datos!EC16," - ")</f>
        <v xml:space="preserve"> - </v>
      </c>
      <c r="Q16" s="231">
        <f>IF(ISNUMBER(Datos!P16),Datos!P16,0)</f>
        <v>0</v>
      </c>
      <c r="R16" s="231" t="str">
        <f>IF(ISNUMBER(Datos!DE16),Datos!DE16," - ")</f>
        <v xml:space="preserve"> - </v>
      </c>
      <c r="S16" s="708" t="str">
        <f>IF(ISNUMBER(Datos!EB16*factor_trimestre/Datos!EE16),Datos!EB16*factor_trimestre/Datos!EE16," - ")</f>
        <v xml:space="preserve"> - </v>
      </c>
      <c r="T16" s="708" t="str">
        <f>IF(ISNUMBER(Datos!EC16*factor_trimestre/Datos!EF16),Datos!EC16*factor_trimestre/Datos!EF16," - ")</f>
        <v xml:space="preserve"> - </v>
      </c>
      <c r="U16" s="231" t="str">
        <f>IF(ISNUMBER((Datos!AS16+Datos!AT16)),(Datos!AS16+Datos!AT16)," - ")</f>
        <v xml:space="preserve"> - </v>
      </c>
      <c r="V16" s="347" t="str">
        <f>IF(ISNUMBER(U16/(Datos!BM16/factor_trimestre)),U16/(Datos!BM16/factor_trimestre)," - ")</f>
        <v xml:space="preserve"> - </v>
      </c>
      <c r="W16" s="502" t="str">
        <f>IF(ISNUMBER(Datos!EO16),Datos!EO16," - ")</f>
        <v xml:space="preserve"> - </v>
      </c>
      <c r="X16" s="1139" t="e">
        <f>(W16/Datos!ER16)*factor_trimestre</f>
        <v>#VALUE!</v>
      </c>
      <c r="Y16" s="706"/>
      <c r="Z16" s="230">
        <f>IF(ISNUMBER(Datos!BY16+Datos!BZ16*1.16),Datos!BY16+Datos!BZ16*1.16," - ")</f>
        <v>0</v>
      </c>
      <c r="AA16" s="347">
        <f>IF(ISNUMBER((Z16*factor_trimestre)/DatosB!CN16),(Z16*factor_trimestre)/DatosB!CN16,"-")</f>
        <v>0</v>
      </c>
      <c r="AB16" s="230" t="str">
        <f>IF(ISNUMBER(IF(D_I="SI",Datos!K16,Datos!K16+Datos!AE16)),IF(D_I="SI",Datos!K16,Datos!K16+Datos!AE16)," - ")</f>
        <v xml:space="preserve"> - </v>
      </c>
      <c r="AC16" s="231" t="str">
        <f>IF(ISNUMBER(Datos!Q16),Datos!Q16," - ")</f>
        <v xml:space="preserve"> - </v>
      </c>
      <c r="AD16" s="344"/>
      <c r="AE16" s="516"/>
      <c r="AF16" s="649" t="str">
        <f>IF(ISNUMBER(IF(D_I="SI",Datos!L16,Datos!L16+Datos!AF16)),IF(D_I="SI",Datos!L16,Datos!L16+Datos!AF16)," - ")</f>
        <v xml:space="preserve"> - </v>
      </c>
      <c r="AG16" s="344"/>
      <c r="AH16" s="344"/>
      <c r="AI16" s="344"/>
      <c r="AJ16" s="504"/>
      <c r="AK16" s="344"/>
      <c r="AL16" s="500"/>
      <c r="AM16" s="345" t="str">
        <f>IF(ISNUMBER(Datos!R16),Datos!R16," - ")</f>
        <v xml:space="preserve"> - </v>
      </c>
      <c r="AN16" s="344"/>
      <c r="AO16" s="344"/>
      <c r="AP16" s="344"/>
      <c r="AQ16" s="344"/>
      <c r="AR16" s="504"/>
      <c r="AS16" s="344" t="str">
        <f>IF(ISNUMBER(Datos!BV16),Datos!BV16," - ")</f>
        <v xml:space="preserve"> - </v>
      </c>
      <c r="AT16" s="230" t="str">
        <f>IF(ISNUMBER(Datos!CK16),Datos!CK16," - ")</f>
        <v xml:space="preserve"> - </v>
      </c>
      <c r="AU16" s="303" t="str">
        <f>IF(ISNUMBER(Datos!CL16),Datos!CL16," - ")</f>
        <v xml:space="preserve"> - </v>
      </c>
      <c r="AV16" s="232" t="str">
        <f>IF(ISNUMBER(Datos!CM16),Datos!CM16," - ")</f>
        <v xml:space="preserve"> - </v>
      </c>
      <c r="AW16" s="303" t="str">
        <f>IF(ISNUMBER(Datos!DV16),Datos!DV16," - ")</f>
        <v xml:space="preserve"> - </v>
      </c>
      <c r="AX16" s="232"/>
      <c r="AY16" s="303"/>
      <c r="AZ16" s="232"/>
      <c r="BA16" s="303"/>
      <c r="BB16" s="232"/>
      <c r="BC16" s="230" t="str">
        <f>IF(ISNUMBER(Datos!M16),Datos!M16," - ")</f>
        <v xml:space="preserve"> - </v>
      </c>
      <c r="BD16" s="234" t="str">
        <f>IF(ISNUMBER(Datos!N16),Datos!N16," - ")</f>
        <v xml:space="preserve"> - </v>
      </c>
      <c r="BE16" s="234" t="str">
        <f>IF(ISNUMBER(Datos!BW16),Datos!BW16," - ")</f>
        <v xml:space="preserve"> - </v>
      </c>
      <c r="BF16" s="233" t="str">
        <f>IF(ISNUMBER(Datos!BX16),Datos!BX16," - ")</f>
        <v xml:space="preserve"> - </v>
      </c>
      <c r="BG16" s="669" t="str">
        <f>IF(ISNUMBER(IF(D_I="SI",Datos!K16/Datos!J16,(Datos!K16+Datos!AE16)/(Datos!J16+Datos!AD16))),IF(D_I="SI",Datos!K16/Datos!J16,(Datos!K16+Datos!AE16)/(Datos!J16+Datos!AD16))," - ")</f>
        <v xml:space="preserve"> - </v>
      </c>
      <c r="BH16" s="670" t="str">
        <f>IF(ISNUMBER(((IF(D_I="SI",Datos!L16/Datos!K16,(Datos!L16+Datos!AF16)/(Datos!K16+Datos!AE16)))*11)/factor_trimestre),((IF(D_I="SI",Datos!L16/Datos!K16,(Datos!L16+Datos!AF16)/(Datos!K16+Datos!AE16)))*11)/factor_trimestre," - ")</f>
        <v xml:space="preserve"> - </v>
      </c>
      <c r="BI16" s="248" t="str">
        <f>IF(ISNUMBER('Resol  Asuntos'!D16/NºAsuntos!G16),'Resol  Asuntos'!D16/NºAsuntos!G16," - ")</f>
        <v xml:space="preserve"> - </v>
      </c>
      <c r="BJ16" s="235" t="str">
        <f>IF(ISNUMBER(Datos!CI16/Datos!CJ16),Datos!CI16/Datos!CJ16," - ")</f>
        <v xml:space="preserve"> - </v>
      </c>
      <c r="BK16" s="370"/>
      <c r="BL16" s="510" t="str">
        <f>IF(ISNUMBER((J16-AB16+L16)/(F16)),(J16-AB16+L16)/(F16)," - ")</f>
        <v xml:space="preserve"> - </v>
      </c>
      <c r="BM16" s="309" t="str">
        <f>IF(ISNUMBER((Datos!P16-Datos!Q16+R16)/(Datos!R16-Datos!P16+Datos!Q16-R16)),(Datos!P16-Datos!Q16+R16)/(Datos!R16-Datos!P16+Datos!Q16-R16)," - ")</f>
        <v xml:space="preserve"> - </v>
      </c>
      <c r="BN16" s="739" t="str">
        <f>IF(ISNUMBER(Datos!CS16),Datos!CS16," - ")</f>
        <v xml:space="preserve"> - </v>
      </c>
      <c r="BO16" s="739" t="str">
        <f>IF(ISNUMBER(Datos!EI16),Datos!EI16," - ")</f>
        <v xml:space="preserve"> - </v>
      </c>
      <c r="BP16" s="271" t="str">
        <f>IF(ISNUMBER(Datos!EV16),Datos!EV16," - ")</f>
        <v xml:space="preserve"> - </v>
      </c>
      <c r="BQ16" s="271" t="str">
        <f>IF(ISNUMBER(Datos!CW16),Datos!CW16," - ")</f>
        <v xml:space="preserve"> - </v>
      </c>
      <c r="BR16" s="650"/>
      <c r="BS16" s="650"/>
      <c r="BT16" s="271">
        <f>Datos!CX16</f>
        <v>0</v>
      </c>
      <c r="BU16" s="501">
        <f>Datos!DU16</f>
        <v>0</v>
      </c>
      <c r="BV16" s="1269">
        <f>Datos!ER16/factor_trimestre</f>
        <v>900</v>
      </c>
    </row>
    <row r="17" spans="1:74" s="652" customFormat="1" ht="14.25">
      <c r="A17" s="646">
        <f>Datos!AO17</f>
        <v>2</v>
      </c>
      <c r="B17" s="647" t="s">
        <v>437</v>
      </c>
      <c r="C17" s="657" t="str">
        <f>Datos!A17</f>
        <v xml:space="preserve">Jdos. 1ª Instª. e Instr.                        </v>
      </c>
      <c r="D17" s="658"/>
      <c r="E17" s="1334">
        <f>IF(ISNUMBER(Datos!AQ17),Datos!AQ17," - ")</f>
        <v>2</v>
      </c>
      <c r="F17" s="648">
        <f>IF(ISNUMBER(AF17+AB17-Datos!J17-L17),AF17+AB17-Datos!J17-L17," - ")</f>
        <v>234</v>
      </c>
      <c r="G17" s="651">
        <f>IF(ISNUMBER(IF(D_I="SI",Datos!I17,Datos!I17+Datos!AC17)),IF(D_I="SI",Datos!I17,Datos!I17+Datos!AC17)," - ")</f>
        <v>224</v>
      </c>
      <c r="H17" s="659"/>
      <c r="I17" s="648" t="str">
        <f>IF(ISNUMBER(Datos!DC17),Datos!DC17," - ")</f>
        <v xml:space="preserve"> - </v>
      </c>
      <c r="J17" s="231" t="str">
        <f>IF(ISNUMBER(Datos!DC17),Datos!DC17," - ")</f>
        <v xml:space="preserve"> - </v>
      </c>
      <c r="K17" s="675"/>
      <c r="L17" s="659">
        <f>IF(ISNUMBER(Datos!DF17),Datos!DF17,0)</f>
        <v>0</v>
      </c>
      <c r="M17" s="231">
        <f>IF(ISNUMBER(Datos!DM17),Datos!DM17,0)</f>
        <v>0</v>
      </c>
      <c r="N17" s="504"/>
      <c r="O17" s="675"/>
      <c r="P17" s="675"/>
      <c r="Q17" s="231">
        <f>IF(ISNUMBER(Datos!P17),Datos!P17,0)</f>
        <v>9</v>
      </c>
      <c r="R17" s="231" t="str">
        <f>IF(ISNUMBER(Datos!DE17),Datos!DE17," - ")</f>
        <v xml:space="preserve"> - </v>
      </c>
      <c r="S17" s="708"/>
      <c r="T17" s="708"/>
      <c r="U17" s="231" t="str">
        <f>IF(ISNUMBER(Datos!AS17/1),Datos!AS17/1," - ")</f>
        <v xml:space="preserve"> - </v>
      </c>
      <c r="V17" s="347" t="str">
        <f>IF(ISNUMBER(U17/(Datos!BM17/factor_trimestre)),U17/(Datos!BM17/factor_trimestre)," - ")</f>
        <v xml:space="preserve"> - </v>
      </c>
      <c r="W17" s="502" t="str">
        <f>IF(ISNUMBER(Datos!EO17),Datos!EO17," - ")</f>
        <v xml:space="preserve"> - </v>
      </c>
      <c r="X17" s="1139" t="e">
        <f>(W17/Datos!ER17)*factor_trimestre</f>
        <v>#VALUE!</v>
      </c>
      <c r="Y17" s="706"/>
      <c r="Z17" s="230" t="str">
        <f>IF(ISNUMBER(Datos!BY17),Datos!BY17," - ")</f>
        <v xml:space="preserve"> - </v>
      </c>
      <c r="AA17" s="347" t="str">
        <f>IF(ISNUMBER((Z17*factor_trimestre)/DatosB!CN17),(Z17*factor_trimestre)/DatosB!CN17,"-")</f>
        <v>-</v>
      </c>
      <c r="AB17" s="230">
        <f>IF(ISNUMBER(IF(D_I="SI",Datos!K17,Datos!K17+Datos!AE17)),IF(D_I="SI",Datos!K17,Datos!K17+Datos!AE17)," - ")</f>
        <v>606</v>
      </c>
      <c r="AC17" s="231">
        <f>IF(ISNUMBER(Datos!Q17),Datos!Q17," - ")</f>
        <v>32</v>
      </c>
      <c r="AD17" s="344"/>
      <c r="AE17" s="516"/>
      <c r="AF17" s="649">
        <f>IF(ISNUMBER(IF(D_I="SI",Datos!L17,Datos!L17+Datos!AF17)),IF(D_I="SI",Datos!L17,Datos!L17+Datos!AF17)," - ")</f>
        <v>250</v>
      </c>
      <c r="AG17" s="344"/>
      <c r="AH17" s="344"/>
      <c r="AI17" s="344"/>
      <c r="AJ17" s="504"/>
      <c r="AK17" s="344"/>
      <c r="AL17" s="500"/>
      <c r="AM17" s="345">
        <f>IF(ISNUMBER(Datos!R17),Datos!R17," - ")</f>
        <v>30</v>
      </c>
      <c r="AN17" s="344"/>
      <c r="AO17" s="344"/>
      <c r="AP17" s="344"/>
      <c r="AQ17" s="344"/>
      <c r="AR17" s="504"/>
      <c r="AS17" s="344" t="str">
        <f>IF(ISNUMBER(Datos!BV17),Datos!BV17," - ")</f>
        <v xml:space="preserve"> - </v>
      </c>
      <c r="AT17" s="230" t="str">
        <f>IF(ISNUMBER(Datos!CK17),Datos!CK17," - ")</f>
        <v xml:space="preserve"> - </v>
      </c>
      <c r="AU17" s="303" t="str">
        <f>IF(ISNUMBER(Datos!CL17),Datos!CL17," - ")</f>
        <v xml:space="preserve"> - </v>
      </c>
      <c r="AV17" s="232" t="str">
        <f>IF(ISNUMBER(Datos!CM17),Datos!CM17," - ")</f>
        <v xml:space="preserve"> - </v>
      </c>
      <c r="AW17" s="303" t="str">
        <f>IF(ISNUMBER(Datos!DV17),Datos!DV17," - ")</f>
        <v xml:space="preserve"> - </v>
      </c>
      <c r="AX17" s="232"/>
      <c r="AY17" s="303"/>
      <c r="AZ17" s="232"/>
      <c r="BA17" s="303"/>
      <c r="BB17" s="232"/>
      <c r="BC17" s="230">
        <f>IF(ISNUMBER(Datos!M17),Datos!M17," - ")</f>
        <v>86</v>
      </c>
      <c r="BD17" s="234">
        <f>IF(ISNUMBER(Datos!N17),Datos!N17," - ")</f>
        <v>431</v>
      </c>
      <c r="BE17" s="234" t="str">
        <f>IF(ISNUMBER(Datos!BW17),Datos!BW17," - ")</f>
        <v xml:space="preserve"> - </v>
      </c>
      <c r="BF17" s="233" t="str">
        <f>IF(ISNUMBER(Datos!BX17),Datos!BX17," - ")</f>
        <v xml:space="preserve"> - </v>
      </c>
      <c r="BG17" s="669">
        <f>IF(ISNUMBER(IF(D_I="SI",Datos!K17/Datos!J17,(Datos!K17+Datos!AE17)/(Datos!J17+Datos!AD17))),IF(D_I="SI",Datos!K17/Datos!J17,(Datos!K17+Datos!AE17)/(Datos!J17+Datos!AD17))," - ")</f>
        <v>0.97427652733118975</v>
      </c>
      <c r="BH17" s="670">
        <f>IF(ISNUMBER(((IF(D_I="SI",Datos!L17/Datos!K17,(Datos!L17+Datos!AF17)/(Datos!K17+Datos!AE17)))*11)/factor_trimestre),((IF(D_I="SI",Datos!L17/Datos!K17,(Datos!L17+Datos!AF17)/(Datos!K17+Datos!AE17)))*11)/factor_trimestre," - ")</f>
        <v>1.2376237623762376</v>
      </c>
      <c r="BI17" s="248">
        <f>IF(ISNUMBER('Resol  Asuntos'!D17/NºAsuntos!G17),'Resol  Asuntos'!D17/NºAsuntos!G17," - ")</f>
        <v>0.14191419141914191</v>
      </c>
      <c r="BJ17" s="235" t="str">
        <f>IF(ISNUMBER(Datos!CI17/Datos!CJ17),Datos!CI17/Datos!CJ17," - ")</f>
        <v xml:space="preserve"> - </v>
      </c>
      <c r="BK17" s="370"/>
      <c r="BL17" s="510" t="str">
        <f>IF(ISNUMBER((J17-AB17+L17)/(F17)),(J17-AB17+L17)/(F17)," - ")</f>
        <v xml:space="preserve"> - </v>
      </c>
      <c r="BM17" s="309"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1" t="str">
        <f>IF(ISNUMBER(Datos!EV17),Datos!EV17," - ")</f>
        <v xml:space="preserve"> - </v>
      </c>
      <c r="BQ17" s="271" t="str">
        <f>IF(ISNUMBER(Datos!CW17),Datos!CW17," - ")</f>
        <v xml:space="preserve"> - </v>
      </c>
      <c r="BR17" s="650"/>
      <c r="BS17" s="650"/>
      <c r="BT17" s="271">
        <f>Datos!CX17</f>
        <v>0</v>
      </c>
      <c r="BU17" s="501">
        <f>Datos!DU17</f>
        <v>0</v>
      </c>
      <c r="BV17" s="1269">
        <f>Datos!ER17/factor_trimestre</f>
        <v>272.72727272727275</v>
      </c>
    </row>
    <row r="18" spans="1:74" s="532" customFormat="1" ht="14.25">
      <c r="A18" s="653">
        <f>Datos!AO18</f>
        <v>1</v>
      </c>
      <c r="B18" s="654" t="s">
        <v>437</v>
      </c>
      <c r="C18" s="655" t="str">
        <f>Datos!A18</f>
        <v>Jdos. Violencia contra la mujer</v>
      </c>
      <c r="D18" s="549"/>
      <c r="E18" s="1183">
        <f>IF(ISNUMBER(Datos!AQ18),Datos!AQ18," - ")</f>
        <v>0</v>
      </c>
      <c r="F18" s="507" t="str">
        <f>IF(ISNUMBER(AF18+AB18-I18-L18),AF18+AB18-I18-L18," - ")</f>
        <v xml:space="preserve"> - </v>
      </c>
      <c r="G18" s="498">
        <f>IF(ISNUMBER(IF(D_I="SI",Datos!I18,Datos!I18+Datos!AC18)),IF(D_I="SI",Datos!I18,Datos!I18+Datos!AC18)," - ")</f>
        <v>14</v>
      </c>
      <c r="H18" s="502"/>
      <c r="I18" s="507" t="str">
        <f>IF(ISNUMBER(Datos!DB18),Datos!DB18," - ")</f>
        <v xml:space="preserve"> - </v>
      </c>
      <c r="J18" s="502" t="str">
        <f>IF(ISNUMBER(Datos!DC18),Datos!DC18," - ")</f>
        <v xml:space="preserve"> - </v>
      </c>
      <c r="K18" s="504"/>
      <c r="L18" s="502">
        <f>IF(ISNUMBER(Datos!DF18),Datos!DF18,0)</f>
        <v>0</v>
      </c>
      <c r="M18" s="502">
        <f>IF(ISNUMBER(Datos!DM18),Datos!DM18,0)</f>
        <v>0</v>
      </c>
      <c r="N18" s="504"/>
      <c r="O18" s="504" t="str">
        <f>IF(ISNUMBER(Datos!EB18),Datos!EB18," - ")</f>
        <v xml:space="preserve"> - </v>
      </c>
      <c r="P18" s="504" t="str">
        <f>IF(ISNUMBER(Datos!EC18),Datos!EC18," - ")</f>
        <v xml:space="preserve"> - </v>
      </c>
      <c r="Q18" s="502">
        <f>IF(ISNUMBER(Datos!P18),Datos!P18,0)</f>
        <v>0</v>
      </c>
      <c r="R18" s="502" t="str">
        <f>IF(ISNUMBER(Datos!DE18),Datos!DE18," - ")</f>
        <v xml:space="preserve"> - </v>
      </c>
      <c r="S18" s="709" t="str">
        <f>IF(ISNUMBER(Datos!EB18*factor_trimestre/Datos!EE18),Datos!EB18*factor_trimestre/Datos!EE18," - ")</f>
        <v xml:space="preserve"> - </v>
      </c>
      <c r="T18" s="709" t="str">
        <f>IF(ISNUMBER(Datos!EC18*factor_trimestre/Datos!EF18),Datos!EC18*factor_trimestre/Datos!EF18," - ")</f>
        <v xml:space="preserve"> - </v>
      </c>
      <c r="U18" s="502" t="str">
        <f>IF(ISNUMBER((Datos!AS18+Datos!AT18)),(Datos!AS18+Datos!AT18)," - ")</f>
        <v xml:space="preserve"> - </v>
      </c>
      <c r="V18" s="503" t="str">
        <f>IF(ISNUMBER(U18/(Datos!BM18/factor_trimestre)),U18/(Datos!BM18/factor_trimestre)," - ")</f>
        <v xml:space="preserve"> - </v>
      </c>
      <c r="W18" s="502" t="str">
        <f>IF(ISNUMBER(Datos!EO18),Datos!EO18," - ")</f>
        <v xml:space="preserve"> - </v>
      </c>
      <c r="X18" s="1139" t="e">
        <f>(W18/Datos!ER18)*factor_trimestre</f>
        <v>#VALUE!</v>
      </c>
      <c r="Y18" s="707"/>
      <c r="Z18" s="507" t="str">
        <f>IF(ISNUMBER(Datos!BY18+Datos!BZ18),Datos!BY18+Datos!BZ18," - ")</f>
        <v xml:space="preserve"> - </v>
      </c>
      <c r="AA18" s="503" t="str">
        <f>IF(ISNUMBER((Z18*factor_trimestre)/DatosB!CN18),(Z18*factor_trimestre)/DatosB!CN18,"-")</f>
        <v>-</v>
      </c>
      <c r="AB18" s="507">
        <f>IF(ISNUMBER(IF(D_I="SI",Datos!K18,Datos!K18+Datos!AE18)),IF(D_I="SI",Datos!K18,Datos!K18+Datos!AE18)," - ")</f>
        <v>19</v>
      </c>
      <c r="AC18" s="502">
        <f>IF(ISNUMBER(Datos!Q18),Datos!Q18," - ")</f>
        <v>0</v>
      </c>
      <c r="AD18" s="504"/>
      <c r="AE18" s="516"/>
      <c r="AF18" s="506">
        <f>IF(ISNUMBER(Datos!L18),Datos!L18,"-")</f>
        <v>19</v>
      </c>
      <c r="AG18" s="504"/>
      <c r="AH18" s="504"/>
      <c r="AI18" s="504"/>
      <c r="AJ18" s="504"/>
      <c r="AK18" s="504"/>
      <c r="AL18" s="505"/>
      <c r="AM18" s="672">
        <f>IF(ISNUMBER(Datos!R18),Datos!R18," - ")</f>
        <v>0</v>
      </c>
      <c r="AN18" s="504"/>
      <c r="AO18" s="504"/>
      <c r="AP18" s="504"/>
      <c r="AQ18" s="504"/>
      <c r="AR18" s="504"/>
      <c r="AS18" s="504" t="str">
        <f>IF(ISNUMBER(Datos!BV18),Datos!BV18," - ")</f>
        <v xml:space="preserve"> - </v>
      </c>
      <c r="AT18" s="507" t="str">
        <f>IF(ISNUMBER(Datos!CK18),Datos!CK18," - ")</f>
        <v xml:space="preserve"> - </v>
      </c>
      <c r="AU18" s="508" t="str">
        <f>IF(ISNUMBER(Datos!CL18),Datos!CL18," - ")</f>
        <v xml:space="preserve"> - </v>
      </c>
      <c r="AV18" s="509" t="str">
        <f>IF(ISNUMBER(Datos!CM18),Datos!CM18," - ")</f>
        <v xml:space="preserve"> - </v>
      </c>
      <c r="AW18" s="508" t="str">
        <f>IF(ISNUMBER(Datos!DV18),Datos!DV18," - ")</f>
        <v xml:space="preserve"> - </v>
      </c>
      <c r="AX18" s="509"/>
      <c r="AY18" s="508"/>
      <c r="AZ18" s="509"/>
      <c r="BA18" s="508"/>
      <c r="BB18" s="509"/>
      <c r="BC18" s="507">
        <f>IF(ISNUMBER(Datos!M18),Datos!M18," - ")</f>
        <v>5</v>
      </c>
      <c r="BD18" s="620">
        <f>IF(ISNUMBER(Datos!N18),Datos!N18," - ")</f>
        <v>14</v>
      </c>
      <c r="BE18" s="620" t="str">
        <f>IF(ISNUMBER(Datos!BW18),Datos!BW18," - ")</f>
        <v xml:space="preserve"> - </v>
      </c>
      <c r="BF18" s="668" t="str">
        <f>IF(ISNUMBER(Datos!BX18),Datos!BX18," - ")</f>
        <v xml:space="preserve"> - </v>
      </c>
      <c r="BG18" s="669">
        <f>IF(ISNUMBER(IF(D_I="SI",Datos!K18/Datos!J18,(Datos!K18+Datos!AE18)/(Datos!J18+Datos!AD18))),IF(D_I="SI",Datos!K18/Datos!J18,(Datos!K18+Datos!AE18)/(Datos!J18+Datos!AD18))," - ")</f>
        <v>0.79166666666666663</v>
      </c>
      <c r="BH18" s="670">
        <f>IF(ISNUMBER(((IF(D_I="SI",Datos!L18/Datos!K18,(Datos!L18+Datos!AF18)/(Datos!K18+Datos!AE18)))*11)/factor_trimestre),((IF(D_I="SI",Datos!L18/Datos!K18,(Datos!L18+Datos!AF18)/(Datos!K18+Datos!AE18)))*11)/factor_trimestre," - ")</f>
        <v>3</v>
      </c>
      <c r="BI18" s="669">
        <f>IF(ISNUMBER('Resol  Asuntos'!D18/NºAsuntos!G18),'Resol  Asuntos'!D18/NºAsuntos!G18," - ")</f>
        <v>0.26315789473684209</v>
      </c>
      <c r="BJ18" s="510" t="str">
        <f>IF(ISNUMBER(Datos!CI18/Datos!CJ18),Datos!CI18/Datos!CJ18," - ")</f>
        <v xml:space="preserve"> - </v>
      </c>
      <c r="BK18" s="656"/>
      <c r="BL18" s="510" t="str">
        <f>IF(ISNUMBER((I18-AB18+L18)/(F18)),(I18-AB18+L18)/(F18)," - ")</f>
        <v xml:space="preserve"> - </v>
      </c>
      <c r="BM18" s="673" t="str">
        <f>IF(ISNUMBER((Datos!P18-Datos!Q18+R18)/(Datos!R18-Datos!P18+Datos!Q18-R18)),(Datos!P18-Datos!Q18+R18)/(Datos!R18-Datos!P18+Datos!Q18-R18)," - ")</f>
        <v xml:space="preserve"> - </v>
      </c>
      <c r="BN18" s="740" t="str">
        <f>IF(ISNUMBER(Datos!CS18),Datos!CS18," - ")</f>
        <v xml:space="preserve"> - </v>
      </c>
      <c r="BO18" s="740" t="str">
        <f>IF(ISNUMBER(Datos!EI18),Datos!EI18," - ")</f>
        <v xml:space="preserve"> - </v>
      </c>
      <c r="BP18" s="271" t="str">
        <f>IF(ISNUMBER(Datos!EV18),Datos!EV18," - ")</f>
        <v xml:space="preserve"> - </v>
      </c>
      <c r="BQ18" s="634" t="str">
        <f>IF(ISNUMBER(Datos!CW18),Datos!CW18," - ")</f>
        <v xml:space="preserve"> - </v>
      </c>
      <c r="BR18" s="634"/>
      <c r="BS18" s="634"/>
      <c r="BT18" s="634">
        <f>Datos!CX18</f>
        <v>0</v>
      </c>
      <c r="BU18" s="511">
        <f>Datos!DU18</f>
        <v>0</v>
      </c>
      <c r="BV18" s="1269">
        <f>Datos!ER18/factor_trimestre</f>
        <v>436.36363636363637</v>
      </c>
    </row>
    <row r="19" spans="1:74" s="532" customFormat="1" ht="15" thickBot="1">
      <c r="A19" s="653">
        <f>Datos!AO19</f>
        <v>0</v>
      </c>
      <c r="B19" s="654" t="s">
        <v>437</v>
      </c>
      <c r="C19" s="655" t="str">
        <f>Datos!A19</f>
        <v xml:space="preserve">Jdos. de Menores                                </v>
      </c>
      <c r="D19" s="549"/>
      <c r="E19" s="1183">
        <f>IF(ISNUMBER(Datos!AQ19),Datos!AQ19," - ")</f>
        <v>0</v>
      </c>
      <c r="F19" s="507" t="str">
        <f>IF(ISNUMBER(Datos!L19+Datos!K19-Datos!J19),Datos!L19+Datos!K19-Datos!J19," - ")</f>
        <v xml:space="preserve"> - </v>
      </c>
      <c r="G19" s="498" t="str">
        <f>IF(ISNUMBER(Datos!I19),Datos!I19," - ")</f>
        <v xml:space="preserve"> - </v>
      </c>
      <c r="H19" s="502"/>
      <c r="I19" s="507" t="str">
        <f>IF(ISNUMBER(Datos!DB19),Datos!DB19," - ")</f>
        <v xml:space="preserve"> - </v>
      </c>
      <c r="J19" s="502" t="str">
        <f>IF(ISNUMBER(Datos!DC19),Datos!DC19," - ")</f>
        <v xml:space="preserve"> - </v>
      </c>
      <c r="K19" s="504"/>
      <c r="L19" s="502">
        <f>IF(ISNUMBER(Datos!DF19),Datos!DF19,0)</f>
        <v>0</v>
      </c>
      <c r="M19" s="502">
        <f>IF(ISNUMBER(Datos!DM19),Datos!DM19,0)</f>
        <v>0</v>
      </c>
      <c r="N19" s="504"/>
      <c r="O19" s="504"/>
      <c r="P19" s="504"/>
      <c r="Q19" s="502">
        <f>IF(ISNUMBER(Datos!P19),Datos!P19,0)</f>
        <v>0</v>
      </c>
      <c r="R19" s="502" t="str">
        <f>IF(ISNUMBER(Datos!DE19),Datos!DE19," - ")</f>
        <v xml:space="preserve"> - </v>
      </c>
      <c r="S19" s="709"/>
      <c r="T19" s="709"/>
      <c r="U19" s="502" t="str">
        <f>IF(ISNUMBER(Datos!AS19/1),Datos!AS19/1," - ")</f>
        <v xml:space="preserve"> - </v>
      </c>
      <c r="V19" s="503" t="str">
        <f>IF(ISNUMBER(U19/(Datos!BM19/factor_trimestre)),U19/(Datos!BM19/factor_trimestre)," - ")</f>
        <v xml:space="preserve"> - </v>
      </c>
      <c r="W19" s="502" t="str">
        <f>IF(ISNUMBER(Datos!EO19),Datos!EO19," - ")</f>
        <v xml:space="preserve"> - </v>
      </c>
      <c r="X19" s="1139" t="e">
        <f>(W19/Datos!ER19)*factor_trimestre</f>
        <v>#VALUE!</v>
      </c>
      <c r="Y19" s="707"/>
      <c r="Z19" s="507" t="str">
        <f>IF(ISNUMBER(Datos!BY19),Datos!BY19," - ")</f>
        <v xml:space="preserve"> - </v>
      </c>
      <c r="AA19" s="503" t="str">
        <f>IF(ISNUMBER((Z19*factor_trimestre)/DatosB!CN19),(Z19*factor_trimestre)/DatosB!CN19,"-")</f>
        <v>-</v>
      </c>
      <c r="AB19" s="507" t="str">
        <f>IF(ISNUMBER(Datos!K19),Datos!K19," - ")</f>
        <v xml:space="preserve"> - </v>
      </c>
      <c r="AC19" s="502" t="str">
        <f>IF(ISNUMBER(Datos!Q19),Datos!Q19," - ")</f>
        <v xml:space="preserve"> - </v>
      </c>
      <c r="AD19" s="504"/>
      <c r="AE19" s="517"/>
      <c r="AF19" s="506" t="str">
        <f>IF(ISNUMBER(Datos!L19),Datos!L19,"-")</f>
        <v>-</v>
      </c>
      <c r="AG19" s="504"/>
      <c r="AH19" s="504"/>
      <c r="AI19" s="504"/>
      <c r="AJ19" s="504"/>
      <c r="AK19" s="504"/>
      <c r="AL19" s="505"/>
      <c r="AM19" s="672" t="str">
        <f>IF(ISNUMBER(Datos!R19),Datos!R19," - ")</f>
        <v xml:space="preserve"> - </v>
      </c>
      <c r="AN19" s="504"/>
      <c r="AO19" s="504"/>
      <c r="AP19" s="504"/>
      <c r="AQ19" s="504"/>
      <c r="AR19" s="504"/>
      <c r="AS19" s="504" t="str">
        <f>IF(ISNUMBER(Datos!BV19),Datos!BV19," - ")</f>
        <v xml:space="preserve"> - </v>
      </c>
      <c r="AT19" s="507" t="str">
        <f>IF(ISNUMBER(Datos!CK19),Datos!CK19," - ")</f>
        <v xml:space="preserve"> - </v>
      </c>
      <c r="AU19" s="508" t="str">
        <f>IF(ISNUMBER(Datos!CL19),Datos!CL19," - ")</f>
        <v xml:space="preserve"> - </v>
      </c>
      <c r="AV19" s="509" t="str">
        <f>IF(ISNUMBER(Datos!CM19),Datos!CM19," - ")</f>
        <v xml:space="preserve"> - </v>
      </c>
      <c r="AW19" s="508"/>
      <c r="AX19" s="509"/>
      <c r="AY19" s="508"/>
      <c r="AZ19" s="509"/>
      <c r="BA19" s="508"/>
      <c r="BB19" s="509"/>
      <c r="BC19" s="507" t="str">
        <f>IF(ISNUMBER(Datos!M19),Datos!M19," - ")</f>
        <v xml:space="preserve"> - </v>
      </c>
      <c r="BD19" s="620"/>
      <c r="BE19" s="620"/>
      <c r="BF19" s="668"/>
      <c r="BG19" s="669" t="str">
        <f>IF(ISNUMBER(Datos!K19/Datos!J19),Datos!K19/Datos!J19," - ")</f>
        <v xml:space="preserve"> - </v>
      </c>
      <c r="BH19" s="670" t="str">
        <f>IF(ISNUMBER(((Datos!L19/Datos!K19)*11)/factor_trimestre),((Datos!L19/Datos!K19)*11)/factor_trimestre," - ")</f>
        <v xml:space="preserve"> - </v>
      </c>
      <c r="BI19" s="669"/>
      <c r="BJ19" s="510" t="str">
        <f>IF(ISNUMBER(Datos!CI19/Datos!CJ19),Datos!CI19/Datos!CJ19," - ")</f>
        <v xml:space="preserve"> - </v>
      </c>
      <c r="BK19" s="656"/>
      <c r="BL19" s="510" t="str">
        <f>IF(ISNUMBER((I19-AB19+L19)/(F19)),(I19-AB19+L19)/(F19)," - ")</f>
        <v xml:space="preserve"> - </v>
      </c>
      <c r="BM19" s="673" t="str">
        <f>IF(ISNUMBER((Datos!P19-Datos!Q19+R19)/(Datos!R19-Datos!P19+Datos!Q19-R19)),(Datos!P19-Datos!Q19+R19)/(Datos!R19-Datos!P19+Datos!Q19-R19)," - ")</f>
        <v xml:space="preserve"> - </v>
      </c>
      <c r="BN19" s="660"/>
      <c r="BO19" s="740" t="str">
        <f>IF(ISNUMBER(Datos!EI19),Datos!EI19," - ")</f>
        <v xml:space="preserve"> - </v>
      </c>
      <c r="BP19" s="271" t="str">
        <f>IF(ISNUMBER(Datos!EV19),Datos!EV19," - ")</f>
        <v xml:space="preserve"> - </v>
      </c>
      <c r="BQ19" s="634" t="str">
        <f>IF(ISNUMBER(Datos!CW19),Datos!CW19," - ")</f>
        <v xml:space="preserve"> - </v>
      </c>
      <c r="BR19" s="634"/>
      <c r="BS19" s="634"/>
      <c r="BT19" s="634">
        <f>Datos!CX19</f>
        <v>0</v>
      </c>
      <c r="BU19" s="511">
        <f>Datos!DU19</f>
        <v>0</v>
      </c>
      <c r="BV19" s="1269">
        <f>Datos!ER19/factor_trimestre</f>
        <v>238.63636363636365</v>
      </c>
    </row>
    <row r="20" spans="1:74" ht="15.75" thickTop="1" thickBot="1">
      <c r="A20" s="183"/>
      <c r="B20" s="183"/>
      <c r="C20" s="1010" t="str">
        <f>Datos!A20</f>
        <v>TOTAL</v>
      </c>
      <c r="D20" s="1044"/>
      <c r="E20" s="1333">
        <f>SUBTOTAL(9,E16:E19)</f>
        <v>2</v>
      </c>
      <c r="F20" s="1045">
        <f>SUBTOTAL(9,F16:F19)</f>
        <v>234</v>
      </c>
      <c r="G20" s="1045">
        <f>SUBTOTAL(9,G16:G19)</f>
        <v>238</v>
      </c>
      <c r="H20" s="1046">
        <f>SUBTOTAL(9,H16:H19)</f>
        <v>0</v>
      </c>
      <c r="I20" s="1045">
        <f>SUBTOTAL(9,I16:I19)</f>
        <v>0</v>
      </c>
      <c r="J20" s="1014">
        <f>SUBTOTAL(9,J15:J19)</f>
        <v>0</v>
      </c>
      <c r="K20" s="1014">
        <f>SUBTOTAL(9,K15:K19)</f>
        <v>0</v>
      </c>
      <c r="L20" s="1046">
        <f t="shared" ref="L20:V20" si="4">SUBTOTAL(9,L16:L19)</f>
        <v>0</v>
      </c>
      <c r="M20" s="1046">
        <f t="shared" si="4"/>
        <v>0</v>
      </c>
      <c r="N20" s="1046">
        <f t="shared" si="4"/>
        <v>0</v>
      </c>
      <c r="O20" s="1047">
        <f t="shared" si="4"/>
        <v>0</v>
      </c>
      <c r="P20" s="1047">
        <f t="shared" si="4"/>
        <v>0</v>
      </c>
      <c r="Q20" s="1046">
        <f t="shared" si="4"/>
        <v>9</v>
      </c>
      <c r="R20" s="1046">
        <f t="shared" si="4"/>
        <v>0</v>
      </c>
      <c r="S20" s="1048">
        <f t="shared" si="4"/>
        <v>0</v>
      </c>
      <c r="T20" s="1048">
        <f t="shared" si="4"/>
        <v>0</v>
      </c>
      <c r="U20" s="1046">
        <f t="shared" si="4"/>
        <v>0</v>
      </c>
      <c r="V20" s="1276">
        <f t="shared" si="4"/>
        <v>0</v>
      </c>
      <c r="W20" s="1011">
        <f>SUBTOTAL(9,W15:W19)</f>
        <v>0</v>
      </c>
      <c r="X20" s="1142" t="e">
        <f>SUBTOTAL(9,X15:X19)</f>
        <v>#VALUE!</v>
      </c>
      <c r="Y20" s="1047">
        <f>SUBTOTAL(9,Y16:Y19)</f>
        <v>0</v>
      </c>
      <c r="Z20" s="1046">
        <f>SUBTOTAL(9,Z16:Z19)</f>
        <v>0</v>
      </c>
      <c r="AA20" s="1049" t="str">
        <f>IF(ISNUMBER((Z20*factor_trimestre)/Datos!CN20),(Z20*factor_trimestre)/Datos!CN20,"-")</f>
        <v>-</v>
      </c>
      <c r="AB20" s="1046">
        <f t="shared" ref="AB20:BF20" si="5">SUBTOTAL(9,AB16:AB19)</f>
        <v>625</v>
      </c>
      <c r="AC20" s="1046">
        <f t="shared" si="5"/>
        <v>32</v>
      </c>
      <c r="AD20" s="1046">
        <f t="shared" si="5"/>
        <v>0</v>
      </c>
      <c r="AE20" s="1046">
        <f t="shared" si="5"/>
        <v>0</v>
      </c>
      <c r="AF20" s="1046">
        <f t="shared" si="5"/>
        <v>269</v>
      </c>
      <c r="AG20" s="1046">
        <f t="shared" si="5"/>
        <v>0</v>
      </c>
      <c r="AH20" s="1046">
        <f t="shared" si="5"/>
        <v>0</v>
      </c>
      <c r="AI20" s="1046">
        <f t="shared" si="5"/>
        <v>0</v>
      </c>
      <c r="AJ20" s="1046">
        <f t="shared" si="5"/>
        <v>0</v>
      </c>
      <c r="AK20" s="1046">
        <f t="shared" si="5"/>
        <v>0</v>
      </c>
      <c r="AL20" s="1046">
        <f t="shared" si="5"/>
        <v>0</v>
      </c>
      <c r="AM20" s="1046">
        <f t="shared" si="5"/>
        <v>30</v>
      </c>
      <c r="AN20" s="1046">
        <f t="shared" si="5"/>
        <v>0</v>
      </c>
      <c r="AO20" s="1046">
        <f t="shared" si="5"/>
        <v>0</v>
      </c>
      <c r="AP20" s="1046">
        <f t="shared" si="5"/>
        <v>0</v>
      </c>
      <c r="AQ20" s="1046">
        <f t="shared" si="5"/>
        <v>0</v>
      </c>
      <c r="AR20" s="1046">
        <f t="shared" si="5"/>
        <v>0</v>
      </c>
      <c r="AS20" s="1046">
        <f t="shared" si="5"/>
        <v>0</v>
      </c>
      <c r="AT20" s="1046">
        <f t="shared" si="5"/>
        <v>0</v>
      </c>
      <c r="AU20" s="1046">
        <f t="shared" si="5"/>
        <v>0</v>
      </c>
      <c r="AV20" s="1046">
        <f t="shared" si="5"/>
        <v>0</v>
      </c>
      <c r="AW20" s="1046">
        <f t="shared" si="5"/>
        <v>0</v>
      </c>
      <c r="AX20" s="1046">
        <f t="shared" si="5"/>
        <v>0</v>
      </c>
      <c r="AY20" s="1046">
        <f t="shared" si="5"/>
        <v>0</v>
      </c>
      <c r="AZ20" s="1046">
        <f t="shared" si="5"/>
        <v>0</v>
      </c>
      <c r="BA20" s="1046">
        <f t="shared" si="5"/>
        <v>0</v>
      </c>
      <c r="BB20" s="1046">
        <f t="shared" si="5"/>
        <v>0</v>
      </c>
      <c r="BC20" s="1046">
        <f t="shared" si="5"/>
        <v>91</v>
      </c>
      <c r="BD20" s="1046">
        <f t="shared" si="5"/>
        <v>445</v>
      </c>
      <c r="BE20" s="1046">
        <f t="shared" si="5"/>
        <v>0</v>
      </c>
      <c r="BF20" s="1046">
        <f t="shared" si="5"/>
        <v>0</v>
      </c>
      <c r="BG20" s="1046">
        <f>IF(ISNUMBER(Datos!K20/Datos!J20),Datos!K20/Datos!J20," - ")</f>
        <v>0.96749226006191946</v>
      </c>
      <c r="BH20" s="1050">
        <f>IF(ISNUMBER(((Datos!L20/Datos!K20)*11)/factor_trimestre),((Datos!L20/Datos!K20)*11)/factor_trimestre," - ")</f>
        <v>1.2912000000000001</v>
      </c>
      <c r="BI20" s="1046">
        <f>SUBTOTAL(9,BI16:BI19)</f>
        <v>0.405072086155984</v>
      </c>
      <c r="BJ20" s="1046">
        <f>SUBTOTAL(9,BJ16:BJ19)</f>
        <v>0</v>
      </c>
      <c r="BK20" s="1046">
        <f>SUBTOTAL(9,BK16:BK19)</f>
        <v>0</v>
      </c>
      <c r="BL20" s="1046">
        <f>IF(ISNUMBER((I20-AB20+L20)/(F20)),(I20-AB20+L20)/(F20)," - ")</f>
        <v>-2.6709401709401708</v>
      </c>
      <c r="BM20" s="1052">
        <f>IF(ISNUMBER((Datos!P20-Datos!Q20)/(Datos!R20-Datos!P20+Datos!Q20)),(Datos!P20-Datos!Q20)/(Datos!R20-Datos!P20+Datos!Q20)," - ")</f>
        <v>-0.43396226415094341</v>
      </c>
      <c r="BN20" s="1046">
        <f t="shared" ref="BN20:BV20" si="6">SUBTOTAL(9,BN16:BN19)</f>
        <v>0</v>
      </c>
      <c r="BO20" s="1046">
        <f t="shared" si="6"/>
        <v>0</v>
      </c>
      <c r="BP20" s="1046">
        <f t="shared" si="6"/>
        <v>0</v>
      </c>
      <c r="BQ20" s="1046">
        <f t="shared" si="6"/>
        <v>0</v>
      </c>
      <c r="BR20" s="1046">
        <f t="shared" si="6"/>
        <v>0</v>
      </c>
      <c r="BS20" s="1046">
        <f t="shared" si="6"/>
        <v>0</v>
      </c>
      <c r="BT20" s="1046">
        <f t="shared" si="6"/>
        <v>0</v>
      </c>
      <c r="BU20" s="1046">
        <f t="shared" si="6"/>
        <v>0</v>
      </c>
      <c r="BV20" s="1056">
        <f t="shared" si="6"/>
        <v>1847.7272727272727</v>
      </c>
    </row>
    <row r="21" spans="1:74" ht="18.75" customHeight="1" thickTop="1" thickBot="1">
      <c r="A21" s="177"/>
      <c r="B21" s="177"/>
      <c r="C21" s="965" t="str">
        <f>Datos!A21</f>
        <v>TOTAL JURISDICCIONES</v>
      </c>
      <c r="D21" s="965"/>
      <c r="E21" s="1335">
        <f t="shared" ref="E21:R21" si="7">SUBTOTAL(9,E9:E20)</f>
        <v>4</v>
      </c>
      <c r="F21" s="967">
        <f t="shared" si="7"/>
        <v>235</v>
      </c>
      <c r="G21" s="967">
        <f t="shared" si="7"/>
        <v>239</v>
      </c>
      <c r="H21" s="969">
        <f t="shared" si="7"/>
        <v>0</v>
      </c>
      <c r="I21" s="967">
        <f t="shared" si="7"/>
        <v>0</v>
      </c>
      <c r="J21" s="969">
        <f t="shared" si="7"/>
        <v>0</v>
      </c>
      <c r="K21" s="969">
        <f t="shared" si="7"/>
        <v>0</v>
      </c>
      <c r="L21" s="1028">
        <f t="shared" si="7"/>
        <v>0</v>
      </c>
      <c r="M21" s="1028">
        <f t="shared" si="7"/>
        <v>0</v>
      </c>
      <c r="N21" s="1028">
        <f t="shared" si="7"/>
        <v>27</v>
      </c>
      <c r="O21" s="1028">
        <f t="shared" si="7"/>
        <v>0</v>
      </c>
      <c r="P21" s="1028">
        <f t="shared" si="7"/>
        <v>0</v>
      </c>
      <c r="Q21" s="969">
        <f t="shared" si="7"/>
        <v>86</v>
      </c>
      <c r="R21" s="969">
        <f t="shared" si="7"/>
        <v>0</v>
      </c>
      <c r="S21" s="1059">
        <f>IF(ISNUMBER(AVERAGE(S8:S20)),AVERAGE(S8:S20),"-")</f>
        <v>0</v>
      </c>
      <c r="T21" s="1059">
        <f>IF(ISNUMBER(AVERAGE(T8:T20)),AVERAGE(T8:T20),"-")</f>
        <v>0</v>
      </c>
      <c r="U21" s="969">
        <f>SUBTOTAL(9,U9:U20)</f>
        <v>0</v>
      </c>
      <c r="V21" s="1278">
        <f>IF(ISNUMBER(AVERAGE(V8:V20)),AVERAGE(V8:V20),"-")</f>
        <v>0</v>
      </c>
      <c r="W21" s="1027">
        <f>SUBTOTAL(9,W9:W20)</f>
        <v>0</v>
      </c>
      <c r="X21" s="1278" t="str">
        <f>IF(ISNUMBER(AVERAGE(X8:X20)),AVERAGE(X8:X20),"-")</f>
        <v>-</v>
      </c>
      <c r="Y21" s="1060">
        <f>SUBTOTAL(9,Y9:Y20)</f>
        <v>0</v>
      </c>
      <c r="Z21" s="978">
        <f>SUBTOTAL(9,Z9:Z20)</f>
        <v>0</v>
      </c>
      <c r="AA21" s="1061">
        <f>IF(ISNUMBER(AVERAGE(AA8:AA20)),AVERAGE(AA8:AA20),"-")</f>
        <v>0</v>
      </c>
      <c r="AB21" s="968">
        <f t="shared" ref="AB21:BF21" si="8">SUBTOTAL(9,AB9:AB20)</f>
        <v>626</v>
      </c>
      <c r="AC21" s="968">
        <f t="shared" si="8"/>
        <v>65</v>
      </c>
      <c r="AD21" s="968">
        <f t="shared" si="8"/>
        <v>0</v>
      </c>
      <c r="AE21" s="968">
        <f t="shared" si="8"/>
        <v>0</v>
      </c>
      <c r="AF21" s="975">
        <f t="shared" si="8"/>
        <v>271</v>
      </c>
      <c r="AG21" s="975">
        <f t="shared" si="8"/>
        <v>0</v>
      </c>
      <c r="AH21" s="975">
        <f t="shared" si="8"/>
        <v>24</v>
      </c>
      <c r="AI21" s="975">
        <f t="shared" si="8"/>
        <v>0</v>
      </c>
      <c r="AJ21" s="968">
        <f t="shared" si="8"/>
        <v>0</v>
      </c>
      <c r="AK21" s="975">
        <f t="shared" si="8"/>
        <v>0</v>
      </c>
      <c r="AL21" s="975">
        <f t="shared" si="8"/>
        <v>0</v>
      </c>
      <c r="AM21" s="975">
        <f t="shared" si="8"/>
        <v>1393</v>
      </c>
      <c r="AN21" s="976">
        <f t="shared" si="8"/>
        <v>0</v>
      </c>
      <c r="AO21" s="976">
        <f t="shared" si="8"/>
        <v>0</v>
      </c>
      <c r="AP21" s="976">
        <f t="shared" si="8"/>
        <v>0</v>
      </c>
      <c r="AQ21" s="976">
        <f t="shared" si="8"/>
        <v>0</v>
      </c>
      <c r="AR21" s="976">
        <f t="shared" si="8"/>
        <v>0</v>
      </c>
      <c r="AS21" s="977">
        <f t="shared" si="8"/>
        <v>0</v>
      </c>
      <c r="AT21" s="978">
        <f t="shared" si="8"/>
        <v>0</v>
      </c>
      <c r="AU21" s="979">
        <f t="shared" si="8"/>
        <v>0</v>
      </c>
      <c r="AV21" s="977">
        <f t="shared" si="8"/>
        <v>0</v>
      </c>
      <c r="AW21" s="977">
        <f t="shared" si="8"/>
        <v>0</v>
      </c>
      <c r="AX21" s="977">
        <f t="shared" si="8"/>
        <v>0</v>
      </c>
      <c r="AY21" s="977">
        <f t="shared" si="8"/>
        <v>0</v>
      </c>
      <c r="AZ21" s="977">
        <f t="shared" si="8"/>
        <v>0</v>
      </c>
      <c r="BA21" s="979">
        <f t="shared" si="8"/>
        <v>0</v>
      </c>
      <c r="BB21" s="967">
        <f t="shared" si="8"/>
        <v>0</v>
      </c>
      <c r="BC21" s="967">
        <f t="shared" si="8"/>
        <v>175</v>
      </c>
      <c r="BD21" s="967">
        <f t="shared" si="8"/>
        <v>559</v>
      </c>
      <c r="BE21" s="967">
        <f t="shared" si="8"/>
        <v>0</v>
      </c>
      <c r="BF21" s="977">
        <f t="shared" si="8"/>
        <v>0</v>
      </c>
      <c r="BG21" s="1062">
        <f>IF(ISNUMBER(Datos!K21/Datos!J21),Datos!K21/Datos!J21," - ")</f>
        <v>0.92520491803278693</v>
      </c>
      <c r="BH21" s="1062">
        <f>IF(ISNUMBER(((Datos!L21/Datos!K21)*11)/factor_trimestre),((Datos!L21/Datos!K21)*11)/factor_trimestre," - ")</f>
        <v>4.3953488372093021</v>
      </c>
      <c r="BI21" s="960">
        <f>IF(ISNUMBER(Datos!J21/Datos!I21),Datos!J21/Datos!I21," - ")</f>
        <v>0.7870967741935484</v>
      </c>
      <c r="BJ21" s="1063" t="str">
        <f>IF(ISNUMBER(Datos!CI21/Datos!CJ21),Datos!CI21/Datos!CJ21," - ")</f>
        <v xml:space="preserve"> - </v>
      </c>
      <c r="BK21" s="1064">
        <f>SUBTOTAL(9,BK9:BK20)</f>
        <v>0</v>
      </c>
      <c r="BL21" s="991">
        <f>IF(OR(ISNUMBER(FIND("01",Criterios!A8,1)),ISNUMBER(FIND("02",Criterios!A8,1)),ISNUMBER(FIND("03",Criterios!A8,1)),ISNUMBER(FIND("04",Criterios!A8,1))),(J21-AB21+L21)/(F21-L21),(I21-AB21+L21)/(F21-L21))</f>
        <v>-2.6638297872340426</v>
      </c>
      <c r="BM21" s="1036">
        <f>IF(ISNUMBER((Datos!P21-Datos!Q21+R21)/(Datos!R21-Datos!P21+Datos!Q21-R21)),(Datos!P21-Datos!Q21+R21)/(Datos!R21-Datos!P21+Datos!Q21-R21)," - ")</f>
        <v>1.5306122448979591E-2</v>
      </c>
      <c r="BN21" s="1065">
        <f t="shared" ref="BN21:BV21" si="9">SUBTOTAL(9,BN9:BN20)</f>
        <v>0</v>
      </c>
      <c r="BO21" s="1065">
        <f t="shared" si="9"/>
        <v>0</v>
      </c>
      <c r="BP21" s="1027">
        <f t="shared" si="9"/>
        <v>0</v>
      </c>
      <c r="BQ21" s="1027">
        <f t="shared" si="9"/>
        <v>0</v>
      </c>
      <c r="BR21" s="1027">
        <f t="shared" si="9"/>
        <v>0</v>
      </c>
      <c r="BS21" s="1027">
        <f t="shared" si="9"/>
        <v>0</v>
      </c>
      <c r="BT21" s="1027">
        <f t="shared" si="9"/>
        <v>0</v>
      </c>
      <c r="BU21" s="1027">
        <f t="shared" si="9"/>
        <v>0</v>
      </c>
      <c r="BV21" s="1271">
        <f t="shared" si="9"/>
        <v>3396.2727272727279</v>
      </c>
    </row>
    <row r="22" spans="1:74" ht="18.75" customHeight="1" thickTop="1" thickBot="1">
      <c r="A22" s="172"/>
      <c r="B22" s="172"/>
      <c r="C22" s="985" t="s">
        <v>291</v>
      </c>
      <c r="D22" s="1067"/>
      <c r="E22" s="1336">
        <f ca="1">IF(ISNUMBER(SUMIF($B8:$B20,$B22,E8:E20)/INDIRECT("Datos!AP"&amp;ROW()-1)),SUMIF($B8:$B20,$B22,E8:E20)/INDIRECT("Datos!AP"&amp;ROW()-1),"-")</f>
        <v>0</v>
      </c>
      <c r="F22" s="960">
        <f ca="1">IF(ISNUMBER(SUMIF($B8:$B20,$B22,F8:F20)/INDIRECT("Datos!AP"&amp;ROW()-1)),SUMIF($B8:$B20,$B22,F8:F20)/INDIRECT("Datos!AP"&amp;ROW()-1),"-")</f>
        <v>0</v>
      </c>
      <c r="G22" s="970">
        <f>IF(ISNUMBER(AVERAGE(G8:G20)),AVERAGE(G8:G20),"-")</f>
        <v>95.6</v>
      </c>
      <c r="H22" s="962">
        <f t="shared" ref="H22:AN22" ca="1" si="10">IF(ISNUMBER(SUMIF($B8:$B20,$B22,H8:H20)/INDIRECT("Datos!AP"&amp;ROW()-1)),SUMIF($B8:$B20,$B22,H8:H20)/INDIRECT("Datos!AP"&amp;ROW()-1),"-")</f>
        <v>0</v>
      </c>
      <c r="I22" s="960">
        <f t="shared" ca="1" si="10"/>
        <v>0</v>
      </c>
      <c r="J22" s="962">
        <f t="shared" ca="1" si="10"/>
        <v>0</v>
      </c>
      <c r="K22" s="962">
        <f t="shared" ca="1" si="10"/>
        <v>0</v>
      </c>
      <c r="L22" s="962">
        <f t="shared" ca="1" si="10"/>
        <v>0</v>
      </c>
      <c r="M22" s="962">
        <f t="shared" ca="1" si="10"/>
        <v>0</v>
      </c>
      <c r="N22" s="962">
        <f t="shared" ca="1" si="10"/>
        <v>0</v>
      </c>
      <c r="O22" s="962">
        <f t="shared" ca="1" si="10"/>
        <v>0</v>
      </c>
      <c r="P22" s="962">
        <f t="shared" ca="1" si="10"/>
        <v>0</v>
      </c>
      <c r="Q22" s="962">
        <f t="shared" ca="1" si="10"/>
        <v>0</v>
      </c>
      <c r="R22" s="962">
        <f t="shared" ca="1" si="10"/>
        <v>0</v>
      </c>
      <c r="S22" s="1068">
        <f t="shared" ca="1" si="10"/>
        <v>0</v>
      </c>
      <c r="T22" s="1068">
        <f t="shared" ca="1" si="10"/>
        <v>0</v>
      </c>
      <c r="U22" s="962">
        <f t="shared" ca="1" si="10"/>
        <v>0</v>
      </c>
      <c r="V22" s="1279">
        <f t="shared" ca="1" si="10"/>
        <v>0</v>
      </c>
      <c r="W22" s="962">
        <f t="shared" ca="1" si="10"/>
        <v>0</v>
      </c>
      <c r="X22" s="1144">
        <f t="shared" ca="1" si="10"/>
        <v>0</v>
      </c>
      <c r="Y22" s="1069">
        <f t="shared" ca="1" si="10"/>
        <v>0</v>
      </c>
      <c r="Z22" s="990">
        <f t="shared" ca="1" si="10"/>
        <v>0</v>
      </c>
      <c r="AA22" s="988">
        <f t="shared" ca="1" si="10"/>
        <v>0</v>
      </c>
      <c r="AB22" s="961">
        <f t="shared" ca="1" si="10"/>
        <v>0</v>
      </c>
      <c r="AC22" s="961">
        <f t="shared" ca="1" si="10"/>
        <v>0</v>
      </c>
      <c r="AD22" s="961">
        <f t="shared" ca="1" si="10"/>
        <v>0</v>
      </c>
      <c r="AE22" s="961">
        <f t="shared" ca="1" si="10"/>
        <v>0</v>
      </c>
      <c r="AF22" s="961">
        <f t="shared" ca="1" si="10"/>
        <v>0</v>
      </c>
      <c r="AG22" s="961">
        <f t="shared" ca="1" si="10"/>
        <v>0</v>
      </c>
      <c r="AH22" s="961">
        <f t="shared" ca="1" si="10"/>
        <v>0</v>
      </c>
      <c r="AI22" s="961">
        <f t="shared" ca="1" si="10"/>
        <v>0</v>
      </c>
      <c r="AJ22" s="961">
        <f t="shared" ca="1" si="10"/>
        <v>0</v>
      </c>
      <c r="AK22" s="961">
        <f t="shared" ca="1" si="10"/>
        <v>0</v>
      </c>
      <c r="AL22" s="961">
        <f t="shared" ca="1" si="10"/>
        <v>0</v>
      </c>
      <c r="AM22" s="961">
        <f t="shared" ca="1" si="10"/>
        <v>0</v>
      </c>
      <c r="AN22" s="989">
        <f t="shared" ca="1" si="10"/>
        <v>0</v>
      </c>
      <c r="AO22" s="989">
        <f ca="1">IF(ISNUMBER(SUMIF($B8:$B20,$B22,AN8:AN20)/INDIRECT("Datos!AP"&amp;ROW()-1)),SUMIF($B8:$B20,$B22,AN8:AN20)/INDIRECT("Datos!AP"&amp;ROW()-1),"-")</f>
        <v>0</v>
      </c>
      <c r="AP22" s="989">
        <f t="shared" ref="AP22:BI22" ca="1" si="11">IF(ISNUMBER(SUMIF($B8:$B20,$B22,AP8:AP20)/INDIRECT("Datos!AP"&amp;ROW()-1)),SUMIF($B8:$B20,$B22,AP8:AP20)/INDIRECT("Datos!AP"&amp;ROW()-1),"-")</f>
        <v>0</v>
      </c>
      <c r="AQ22" s="989">
        <f t="shared" ca="1" si="11"/>
        <v>0</v>
      </c>
      <c r="AR22" s="989">
        <f t="shared" ca="1" si="11"/>
        <v>0</v>
      </c>
      <c r="AS22" s="962">
        <f t="shared" ca="1" si="11"/>
        <v>0</v>
      </c>
      <c r="AT22" s="990">
        <f t="shared" ca="1" si="11"/>
        <v>0</v>
      </c>
      <c r="AU22" s="989">
        <f t="shared" ca="1" si="11"/>
        <v>0</v>
      </c>
      <c r="AV22" s="962">
        <f t="shared" ca="1" si="11"/>
        <v>0</v>
      </c>
      <c r="AW22" s="1070">
        <f t="shared" ca="1" si="11"/>
        <v>0</v>
      </c>
      <c r="AX22" s="1070">
        <f t="shared" ca="1" si="11"/>
        <v>0</v>
      </c>
      <c r="AY22" s="1070">
        <f t="shared" ca="1" si="11"/>
        <v>0</v>
      </c>
      <c r="AZ22" s="1070">
        <f t="shared" ca="1" si="11"/>
        <v>0</v>
      </c>
      <c r="BA22" s="989">
        <f t="shared" ca="1" si="11"/>
        <v>0</v>
      </c>
      <c r="BB22" s="960">
        <f t="shared" ca="1" si="11"/>
        <v>0</v>
      </c>
      <c r="BC22" s="960">
        <f t="shared" ca="1" si="11"/>
        <v>0</v>
      </c>
      <c r="BD22" s="960">
        <f t="shared" ca="1" si="11"/>
        <v>0</v>
      </c>
      <c r="BE22" s="960">
        <f t="shared" ca="1" si="11"/>
        <v>0</v>
      </c>
      <c r="BF22" s="962">
        <f t="shared" ca="1" si="11"/>
        <v>0</v>
      </c>
      <c r="BG22" s="962">
        <f t="shared" ca="1" si="11"/>
        <v>0</v>
      </c>
      <c r="BH22" s="962">
        <f t="shared" ca="1" si="11"/>
        <v>0</v>
      </c>
      <c r="BI22" s="960">
        <f t="shared" ca="1" si="11"/>
        <v>0</v>
      </c>
      <c r="BJ22" s="1071" t="e">
        <f ca="1">INDIRECT("Datos!CI"&amp;ROW()-1)/INDIRECT("Datos!CJ"&amp;ROW()-1)</f>
        <v>#DIV/0!</v>
      </c>
      <c r="BK22" s="1072">
        <f ca="1">IF(ISNUMBER(SUMIF($B8:$B20,$B22,BK8:BK20)/INDIRECT("Datos!AP"&amp;ROW()-1)),SUMIF($B8:$B20,$B22,BK8:BK20)/INDIRECT("Datos!AP"&amp;ROW()-1),"-")</f>
        <v>0</v>
      </c>
      <c r="BL22" s="991" t="e">
        <f ca="1">IF(OR(ISNUMBER(FIND("01",Criterios!A8,1)),ISNUMBER(FIND("02",Criterios!A8,1)),ISNUMBER(FIND("03",Criterios!A8,1)),ISNUMBER(FIND("04",Criterios!A8,1))),(J22-AB22+L22)/(F22-L22),(I22-AB22+L22)/(F22-L22))</f>
        <v>#DIV/0!</v>
      </c>
      <c r="BM22" s="1041">
        <f t="shared" ref="BM22:BS22" ca="1" si="12">IF(ISNUMBER(SUMIF($B8:$B20,$B22,BM8:BM20)/INDIRECT("Datos!AP"&amp;ROW()-1)),SUMIF($B8:$B20,$B22,BM8:BM20)/INDIRECT("Datos!AP"&amp;ROW()-1),"-")</f>
        <v>0</v>
      </c>
      <c r="BN22" s="1073">
        <f t="shared" ca="1" si="12"/>
        <v>0</v>
      </c>
      <c r="BO22" s="1073">
        <f t="shared" ca="1" si="12"/>
        <v>0</v>
      </c>
      <c r="BP22" s="1037">
        <f t="shared" ca="1" si="12"/>
        <v>0</v>
      </c>
      <c r="BQ22" s="1037">
        <f t="shared" ca="1" si="12"/>
        <v>0</v>
      </c>
      <c r="BR22" s="1037">
        <f t="shared" ca="1" si="12"/>
        <v>0</v>
      </c>
      <c r="BS22" s="1037">
        <f t="shared" ca="1" si="12"/>
        <v>0</v>
      </c>
      <c r="BT22" s="1037"/>
      <c r="BU22" s="1037"/>
      <c r="BV22" s="963"/>
    </row>
    <row r="23" spans="1:74" ht="18.75" hidden="1" customHeight="1" thickTop="1" thickBot="1">
      <c r="A23" s="173"/>
      <c r="B23" s="173"/>
      <c r="C23" s="173" t="s">
        <v>292</v>
      </c>
      <c r="D23" s="512"/>
      <c r="E23" s="562">
        <f>IF(ISNUMBER(STDEV(E8:E20)),STDEV(E8:E20),"-")</f>
        <v>1.009049958219026</v>
      </c>
      <c r="F23" s="600">
        <f>IF(ISNUMBER(STDEV(F8:F20)),STDEV(F8:F20),"-")</f>
        <v>134.52261272118281</v>
      </c>
      <c r="G23" s="601">
        <f>IF(ISNUMBER(STDEV(G8:G20)),STDEV(G8:G20),"-")</f>
        <v>123.81558867929353</v>
      </c>
      <c r="H23" s="602"/>
      <c r="I23" s="600">
        <f>IF(ISNUMBER(STDEV(I8:I20)),STDEV(I8:I20),"-")</f>
        <v>0</v>
      </c>
      <c r="J23" s="259">
        <f>IF(ISNUMBER(STDEV(J8:J20)),STDEV(J8:J20),"-")</f>
        <v>0</v>
      </c>
      <c r="K23" s="287"/>
      <c r="L23" s="602"/>
      <c r="M23" s="602"/>
      <c r="N23" s="602"/>
      <c r="O23" s="602"/>
      <c r="P23" s="602"/>
      <c r="Q23" s="602"/>
      <c r="R23" s="602"/>
      <c r="S23" s="603"/>
      <c r="T23" s="603"/>
      <c r="U23" s="602"/>
      <c r="V23" s="1280"/>
      <c r="W23" s="306"/>
      <c r="X23" s="1145"/>
      <c r="Y23" s="718"/>
      <c r="Z23" s="600">
        <f>IF(ISNUMBER(STDEV(Z8:Z20)),STDEV(Z8:Z20),"-")</f>
        <v>0</v>
      </c>
      <c r="AA23" s="603">
        <f>IF(ISNUMBER(STDEV(AA8:AA20)),STDEV(AA8:AA20),"-")</f>
        <v>0</v>
      </c>
      <c r="AB23" s="602">
        <f>IF(ISNUMBER(STDEV(AB8:AB20)),STDEV(AB8:AB20),"-")</f>
        <v>333.43785028097813</v>
      </c>
      <c r="AC23" s="604"/>
      <c r="AD23" s="604"/>
      <c r="AE23" s="604"/>
      <c r="AF23" s="604"/>
      <c r="AG23" s="604"/>
      <c r="AH23" s="604"/>
      <c r="AI23" s="604"/>
      <c r="AJ23" s="604"/>
      <c r="AK23" s="604"/>
      <c r="AL23" s="604"/>
      <c r="AM23" s="604"/>
      <c r="AN23" s="604"/>
      <c r="AO23" s="604"/>
      <c r="AP23" s="604"/>
      <c r="AQ23" s="604"/>
      <c r="AR23" s="604"/>
      <c r="AS23" s="605">
        <f>IF(ISNUMBER(STDEV(AS8:AS20)),STDEV(AS8:AS20),"-")</f>
        <v>0</v>
      </c>
      <c r="AT23" s="606">
        <f>IF(ISNUMBER(STDEV(AT8:AT20)),STDEV(AT8:AT20),"-")</f>
        <v>0</v>
      </c>
      <c r="AU23" s="604">
        <f>IF(ISNUMBER(STDEV(AU8:AU20)),STDEV(AU8:AU20),"-")</f>
        <v>0</v>
      </c>
      <c r="AV23" s="607"/>
      <c r="AW23" s="607"/>
      <c r="AX23" s="607"/>
      <c r="AY23" s="607"/>
      <c r="AZ23" s="607"/>
      <c r="BA23" s="604">
        <f>IF(ISNUMBER(STDEV(BA8:BA20)),STDEV(BA8:BA20),"-")</f>
        <v>0</v>
      </c>
      <c r="BB23" s="303"/>
      <c r="BC23" s="600">
        <f>IF(ISNUMBER(STDEV(BC8:BC20)),STDEV(BC8:BC20),"-")</f>
        <v>42.968205299577811</v>
      </c>
      <c r="BD23" s="600"/>
      <c r="BE23" s="600">
        <f>IF(ISNUMBER(STDEV(BE8:BE20)),STDEV(BE8:BE20),"-")</f>
        <v>0</v>
      </c>
      <c r="BF23" s="605">
        <f>IF(ISNUMBER(STDEV(BF8:BF20)),STDEV(BF8:BF20),"-")</f>
        <v>0</v>
      </c>
      <c r="BG23" s="915">
        <f>IF(ISNUMBER(STDEV(BG8:BG20)),STDEV(BG8:BG20),"-")</f>
        <v>0.17501452377285953</v>
      </c>
      <c r="BH23" s="919">
        <f>IF(ISNUMBER(STDEV(BH8:BH20)),STDEV(BH8:BH20),"-")</f>
        <v>4.4661426575190593</v>
      </c>
      <c r="BI23" s="254">
        <f>IF(ISNUMBER(STDEV(BI8:BI20)),STDEV(BI8:BI20),"-")</f>
        <v>0.1075574662632027</v>
      </c>
      <c r="BJ23" s="235" t="str">
        <f>IF(ISNUMBER(BL23/BM23),BL23/BM23," - ")</f>
        <v xml:space="preserve"> - </v>
      </c>
      <c r="BK23" s="627"/>
      <c r="BL23" s="608">
        <f>IF(ISNUMBER(STDEV(BL8:BL20)),STDEV(BL8:BL20),"-")</f>
        <v>1.1815331258288033</v>
      </c>
      <c r="BM23" s="609"/>
      <c r="BN23" s="640"/>
      <c r="BO23" s="640"/>
      <c r="BP23" s="610">
        <f>IF(ISNUMBER(STDEV(BP8:BP20)),STDEV(BP8:BP20),"-")</f>
        <v>0</v>
      </c>
      <c r="BQ23" s="610">
        <f>IF(ISNUMBER(STDEV(BQ8:BQ20)),STDEV(BQ8:BQ20),"-")</f>
        <v>0</v>
      </c>
      <c r="BR23" s="610"/>
      <c r="BS23" s="610"/>
      <c r="BT23" s="611">
        <f>IF(ISNUMBER(STDEV(BT8:BT20)),STDEV(BT8:BT20),"-")</f>
        <v>0</v>
      </c>
      <c r="BU23" s="612">
        <f>IF(ISNUMBER(STDEV(BU8:BU20)),STDEV(BU8:BU20),"-")</f>
        <v>0</v>
      </c>
      <c r="BV23" s="1272">
        <f>IF(ISNUMBER(STDEV(BV8:BV20)),STDEV(BV8:BV20),"-")</f>
        <v>571.70412269533006</v>
      </c>
    </row>
    <row r="24" spans="1:74" ht="12" customHeight="1" thickTop="1">
      <c r="C24" s="75"/>
      <c r="D24" s="513"/>
      <c r="F24" s="613"/>
      <c r="G24" s="614"/>
      <c r="H24" s="613"/>
      <c r="I24" s="613"/>
      <c r="L24" s="613"/>
      <c r="M24" s="613"/>
      <c r="N24" s="613"/>
      <c r="O24" s="628"/>
      <c r="P24" s="628"/>
      <c r="Q24" s="613"/>
      <c r="R24" s="613"/>
      <c r="S24" s="615"/>
      <c r="T24" s="615"/>
      <c r="U24" s="613"/>
      <c r="V24" s="1281"/>
      <c r="W24" s="97"/>
      <c r="X24" s="710"/>
      <c r="Y24" s="719"/>
      <c r="Z24" s="613"/>
      <c r="AA24" s="615"/>
      <c r="AB24" s="613"/>
      <c r="AC24" s="613"/>
      <c r="AD24" s="613"/>
      <c r="AE24" s="613"/>
      <c r="AF24" s="613"/>
      <c r="AG24" s="613"/>
      <c r="AH24" s="613"/>
      <c r="AI24" s="613"/>
      <c r="AJ24" s="613"/>
      <c r="AK24" s="613"/>
      <c r="AL24" s="613"/>
      <c r="AM24" s="613"/>
      <c r="AN24" s="613"/>
      <c r="AO24" s="613"/>
      <c r="AP24" s="613"/>
      <c r="AQ24" s="613"/>
      <c r="AR24" s="613"/>
      <c r="AS24" s="613"/>
      <c r="AT24" s="613"/>
      <c r="AU24" s="613"/>
      <c r="AV24" s="613"/>
      <c r="AW24" s="613"/>
      <c r="AX24" s="613"/>
      <c r="AY24" s="613"/>
      <c r="AZ24" s="613"/>
      <c r="BA24" s="613"/>
      <c r="BB24" s="303"/>
      <c r="BC24" s="613"/>
      <c r="BD24" s="613"/>
      <c r="BE24" s="613"/>
      <c r="BF24" s="613"/>
      <c r="BG24" s="614"/>
      <c r="BH24" s="614"/>
      <c r="BI24" s="613"/>
      <c r="BJ24" s="615"/>
      <c r="BK24" s="628"/>
      <c r="BL24" s="613" t="s">
        <v>466</v>
      </c>
      <c r="BM24" s="616"/>
      <c r="BN24" s="641"/>
      <c r="BO24" s="641"/>
      <c r="BP24" s="613"/>
      <c r="BQ24" s="613"/>
      <c r="BR24" s="613"/>
      <c r="BS24" s="613"/>
      <c r="BT24" s="617"/>
      <c r="BU24" s="618"/>
      <c r="BV24" s="618"/>
    </row>
    <row r="25" spans="1:74" ht="14.25">
      <c r="C25" s="165"/>
      <c r="D25" s="563"/>
      <c r="E25" s="564"/>
      <c r="F25" s="619"/>
      <c r="G25" s="620"/>
      <c r="H25" s="621"/>
      <c r="I25" s="621"/>
      <c r="J25" s="149"/>
      <c r="K25" s="149"/>
      <c r="L25" s="621"/>
      <c r="M25" s="621"/>
      <c r="N25" s="621"/>
      <c r="O25" s="369"/>
      <c r="P25" s="369"/>
      <c r="Q25" s="621"/>
      <c r="R25" s="621"/>
      <c r="S25" s="358"/>
      <c r="T25" s="358"/>
      <c r="U25" s="621"/>
      <c r="V25" s="1282"/>
      <c r="W25" s="307"/>
      <c r="X25" s="300"/>
      <c r="Y25" s="344"/>
      <c r="Z25" s="369"/>
      <c r="AA25" s="358"/>
      <c r="AB25" s="621"/>
      <c r="AC25" s="622"/>
      <c r="AD25" s="622"/>
      <c r="AE25" s="622"/>
      <c r="AF25" s="303"/>
      <c r="AG25" s="303"/>
      <c r="AH25" s="303"/>
      <c r="AI25" s="303"/>
      <c r="AJ25" s="303"/>
      <c r="AK25" s="622"/>
      <c r="AL25" s="622"/>
      <c r="AM25" s="622"/>
      <c r="AN25" s="622"/>
      <c r="AO25" s="622"/>
      <c r="AP25" s="622"/>
      <c r="AQ25" s="622"/>
      <c r="AR25" s="622"/>
      <c r="AS25" s="621"/>
      <c r="AT25" s="621"/>
      <c r="AU25" s="621"/>
      <c r="AV25" s="621"/>
      <c r="AW25" s="621"/>
      <c r="AX25" s="621"/>
      <c r="AY25" s="621"/>
      <c r="AZ25" s="621"/>
      <c r="BA25" s="621"/>
      <c r="BB25" s="621"/>
      <c r="BC25" s="621"/>
      <c r="BD25" s="621"/>
      <c r="BE25" s="621"/>
      <c r="BF25" s="621"/>
      <c r="BG25" s="916"/>
      <c r="BH25" s="916"/>
      <c r="BI25" s="621"/>
      <c r="BJ25" s="358"/>
      <c r="BK25" s="369"/>
      <c r="BL25" s="358"/>
      <c r="BM25" s="499"/>
      <c r="BN25" s="642"/>
      <c r="BO25" s="642"/>
      <c r="BP25" s="621"/>
      <c r="BQ25" s="621"/>
      <c r="BR25" s="621"/>
      <c r="BS25" s="621"/>
      <c r="BT25" s="623"/>
      <c r="BU25" s="623"/>
      <c r="BV25" s="1273"/>
    </row>
    <row r="26" spans="1:74" ht="14.25">
      <c r="C26" s="7"/>
      <c r="D26" s="567"/>
      <c r="E26" s="564"/>
      <c r="F26" s="619"/>
      <c r="G26" s="620"/>
      <c r="H26" s="621"/>
      <c r="I26" s="621"/>
      <c r="J26" s="149"/>
      <c r="K26" s="149"/>
      <c r="L26" s="621"/>
      <c r="M26" s="621"/>
      <c r="N26" s="621"/>
      <c r="O26" s="369"/>
      <c r="P26" s="369"/>
      <c r="Q26" s="621"/>
      <c r="R26" s="621"/>
      <c r="S26" s="358"/>
      <c r="T26" s="358"/>
      <c r="U26" s="621"/>
      <c r="V26" s="1282"/>
      <c r="W26" s="307"/>
      <c r="X26" s="300"/>
      <c r="Y26" s="344"/>
      <c r="Z26" s="369"/>
      <c r="AA26" s="358"/>
      <c r="AB26" s="621"/>
      <c r="AC26" s="622"/>
      <c r="AD26" s="622"/>
      <c r="AE26" s="622"/>
      <c r="AF26" s="303"/>
      <c r="AG26" s="303"/>
      <c r="AH26" s="303"/>
      <c r="AI26" s="303"/>
      <c r="AJ26" s="303"/>
      <c r="AK26" s="622"/>
      <c r="AL26" s="622"/>
      <c r="AM26" s="622"/>
      <c r="AN26" s="622"/>
      <c r="AO26" s="622"/>
      <c r="AP26" s="622"/>
      <c r="AQ26" s="622"/>
      <c r="AR26" s="622"/>
      <c r="AS26" s="621"/>
      <c r="AT26" s="621"/>
      <c r="AU26" s="621"/>
      <c r="AV26" s="621"/>
      <c r="AW26" s="621"/>
      <c r="AX26" s="621"/>
      <c r="AY26" s="621"/>
      <c r="AZ26" s="621"/>
      <c r="BA26" s="621"/>
      <c r="BB26" s="621"/>
      <c r="BC26" s="621"/>
      <c r="BD26" s="621"/>
      <c r="BE26" s="621"/>
      <c r="BF26" s="621"/>
      <c r="BG26" s="916"/>
      <c r="BH26" s="916"/>
      <c r="BI26" s="621"/>
      <c r="BJ26" s="358"/>
      <c r="BK26" s="369"/>
      <c r="BL26" s="358"/>
      <c r="BM26" s="499"/>
      <c r="BN26" s="642"/>
      <c r="BO26" s="642"/>
      <c r="BP26" s="621"/>
      <c r="BQ26" s="621"/>
      <c r="BR26" s="621"/>
      <c r="BS26" s="621"/>
      <c r="BT26" s="623"/>
      <c r="BU26" s="623"/>
      <c r="BV26" s="1273"/>
    </row>
    <row r="27" spans="1:74" ht="12.75" hidden="1" customHeight="1">
      <c r="C27" s="568" t="s">
        <v>289</v>
      </c>
      <c r="D27" s="567"/>
      <c r="E27" s="566">
        <f t="shared" ref="E27:AD27" si="13">E25+2*E26</f>
        <v>0</v>
      </c>
      <c r="F27" s="548">
        <f t="shared" si="13"/>
        <v>0</v>
      </c>
      <c r="G27" s="559">
        <f t="shared" si="13"/>
        <v>0</v>
      </c>
      <c r="H27" s="569">
        <f t="shared" si="13"/>
        <v>0</v>
      </c>
      <c r="I27" s="569">
        <f t="shared" si="13"/>
        <v>0</v>
      </c>
      <c r="J27" s="147">
        <f t="shared" si="13"/>
        <v>0</v>
      </c>
      <c r="K27" s="147">
        <f t="shared" si="13"/>
        <v>0</v>
      </c>
      <c r="L27" s="569">
        <f t="shared" si="13"/>
        <v>0</v>
      </c>
      <c r="M27" s="569">
        <f t="shared" si="13"/>
        <v>0</v>
      </c>
      <c r="N27" s="569">
        <f t="shared" si="13"/>
        <v>0</v>
      </c>
      <c r="O27" s="569">
        <f t="shared" si="13"/>
        <v>0</v>
      </c>
      <c r="P27" s="569">
        <f t="shared" si="13"/>
        <v>0</v>
      </c>
      <c r="Q27" s="569">
        <f t="shared" si="13"/>
        <v>0</v>
      </c>
      <c r="R27" s="569">
        <f t="shared" si="13"/>
        <v>0</v>
      </c>
      <c r="S27" s="570">
        <f t="shared" si="13"/>
        <v>0</v>
      </c>
      <c r="T27" s="570">
        <f t="shared" si="13"/>
        <v>0</v>
      </c>
      <c r="U27" s="569">
        <f t="shared" si="13"/>
        <v>0</v>
      </c>
      <c r="V27" s="699">
        <f t="shared" si="13"/>
        <v>0</v>
      </c>
      <c r="W27" s="702">
        <f t="shared" si="13"/>
        <v>0</v>
      </c>
      <c r="X27" s="699">
        <f t="shared" si="13"/>
        <v>0</v>
      </c>
      <c r="Y27" s="702">
        <f t="shared" si="13"/>
        <v>0</v>
      </c>
      <c r="Z27" s="545">
        <f t="shared" si="13"/>
        <v>0</v>
      </c>
      <c r="AA27" s="571">
        <f t="shared" si="13"/>
        <v>0</v>
      </c>
      <c r="AB27" s="545">
        <f t="shared" si="13"/>
        <v>0</v>
      </c>
      <c r="AC27" s="545">
        <f t="shared" si="13"/>
        <v>0</v>
      </c>
      <c r="AD27" s="545">
        <f t="shared" si="13"/>
        <v>0</v>
      </c>
      <c r="AE27" s="545"/>
      <c r="AF27" s="545">
        <f>AF25+2*AF26</f>
        <v>0</v>
      </c>
      <c r="AG27" s="545">
        <f>AG25+2*AG26</f>
        <v>0</v>
      </c>
      <c r="AH27" s="545">
        <f>AH25+2*AH26</f>
        <v>0</v>
      </c>
      <c r="AI27" s="545">
        <f>AI25+2*AI26</f>
        <v>0</v>
      </c>
      <c r="AJ27" s="545"/>
      <c r="AK27" s="545">
        <f t="shared" ref="AK27:BS27" si="14">AK25+2*AK26</f>
        <v>0</v>
      </c>
      <c r="AL27" s="545">
        <f t="shared" si="14"/>
        <v>0</v>
      </c>
      <c r="AM27" s="545">
        <f t="shared" si="14"/>
        <v>0</v>
      </c>
      <c r="AN27" s="545">
        <f t="shared" si="14"/>
        <v>0</v>
      </c>
      <c r="AO27" s="545">
        <f t="shared" si="14"/>
        <v>0</v>
      </c>
      <c r="AP27" s="545">
        <f t="shared" si="14"/>
        <v>0</v>
      </c>
      <c r="AQ27" s="545">
        <f t="shared" si="14"/>
        <v>0</v>
      </c>
      <c r="AR27" s="545">
        <f t="shared" si="14"/>
        <v>0</v>
      </c>
      <c r="AS27" s="545">
        <f t="shared" si="14"/>
        <v>0</v>
      </c>
      <c r="AT27" s="545">
        <f t="shared" si="14"/>
        <v>0</v>
      </c>
      <c r="AU27" s="545">
        <f t="shared" si="14"/>
        <v>0</v>
      </c>
      <c r="AV27" s="545">
        <f t="shared" si="14"/>
        <v>0</v>
      </c>
      <c r="AW27" s="545">
        <f t="shared" si="14"/>
        <v>0</v>
      </c>
      <c r="AX27" s="545">
        <f t="shared" si="14"/>
        <v>0</v>
      </c>
      <c r="AY27" s="545">
        <f t="shared" si="14"/>
        <v>0</v>
      </c>
      <c r="AZ27" s="545">
        <f t="shared" si="14"/>
        <v>0</v>
      </c>
      <c r="BA27" s="545">
        <f t="shared" si="14"/>
        <v>0</v>
      </c>
      <c r="BB27" s="545">
        <f t="shared" si="14"/>
        <v>0</v>
      </c>
      <c r="BC27" s="545">
        <f t="shared" si="14"/>
        <v>0</v>
      </c>
      <c r="BD27" s="545">
        <f t="shared" si="14"/>
        <v>0</v>
      </c>
      <c r="BE27" s="545">
        <f t="shared" si="14"/>
        <v>0</v>
      </c>
      <c r="BF27" s="545">
        <f t="shared" si="14"/>
        <v>0</v>
      </c>
      <c r="BG27" s="917">
        <f t="shared" si="14"/>
        <v>0</v>
      </c>
      <c r="BH27" s="917">
        <f t="shared" si="14"/>
        <v>0</v>
      </c>
      <c r="BI27" s="565">
        <f t="shared" si="14"/>
        <v>0</v>
      </c>
      <c r="BJ27" s="571">
        <f t="shared" si="14"/>
        <v>0</v>
      </c>
      <c r="BK27" s="629">
        <f t="shared" si="14"/>
        <v>0</v>
      </c>
      <c r="BL27" s="700">
        <f t="shared" si="14"/>
        <v>0</v>
      </c>
      <c r="BM27" s="700">
        <f t="shared" si="14"/>
        <v>0</v>
      </c>
      <c r="BN27" s="545">
        <f t="shared" si="14"/>
        <v>0</v>
      </c>
      <c r="BO27" s="545">
        <f t="shared" si="14"/>
        <v>0</v>
      </c>
      <c r="BP27" s="545">
        <f t="shared" si="14"/>
        <v>0</v>
      </c>
      <c r="BQ27" s="545">
        <f t="shared" si="14"/>
        <v>0</v>
      </c>
      <c r="BR27" s="545">
        <f t="shared" si="14"/>
        <v>0</v>
      </c>
      <c r="BS27" s="545">
        <f t="shared" si="14"/>
        <v>0</v>
      </c>
      <c r="BT27" s="545">
        <f>(BT25-ultimoDiaTrim)+2*BT26</f>
        <v>0</v>
      </c>
      <c r="BU27" s="545">
        <f>BU25+2*BU26</f>
        <v>0</v>
      </c>
      <c r="BV27" s="561">
        <f>BV25+2*BV26</f>
        <v>0</v>
      </c>
    </row>
    <row r="28" spans="1:74" ht="12.75" hidden="1" customHeight="1">
      <c r="C28" s="568" t="s">
        <v>290</v>
      </c>
      <c r="D28" s="567"/>
      <c r="E28" s="566">
        <f t="shared" ref="E28:AD28" si="15">MIN(0,E25-2*E26)</f>
        <v>0</v>
      </c>
      <c r="F28" s="548">
        <f t="shared" si="15"/>
        <v>0</v>
      </c>
      <c r="G28" s="559">
        <f t="shared" si="15"/>
        <v>0</v>
      </c>
      <c r="H28" s="545">
        <f t="shared" si="15"/>
        <v>0</v>
      </c>
      <c r="I28" s="545">
        <f t="shared" si="15"/>
        <v>0</v>
      </c>
      <c r="J28" s="148">
        <f t="shared" si="15"/>
        <v>0</v>
      </c>
      <c r="K28" s="148">
        <f t="shared" si="15"/>
        <v>0</v>
      </c>
      <c r="L28" s="545">
        <f t="shared" si="15"/>
        <v>0</v>
      </c>
      <c r="M28" s="545">
        <f t="shared" si="15"/>
        <v>0</v>
      </c>
      <c r="N28" s="545">
        <f t="shared" si="15"/>
        <v>0</v>
      </c>
      <c r="O28" s="545">
        <f t="shared" si="15"/>
        <v>0</v>
      </c>
      <c r="P28" s="545">
        <f t="shared" si="15"/>
        <v>0</v>
      </c>
      <c r="Q28" s="545">
        <f t="shared" si="15"/>
        <v>0</v>
      </c>
      <c r="R28" s="545">
        <f t="shared" si="15"/>
        <v>0</v>
      </c>
      <c r="S28" s="571">
        <f t="shared" si="15"/>
        <v>0</v>
      </c>
      <c r="T28" s="571">
        <f t="shared" si="15"/>
        <v>0</v>
      </c>
      <c r="U28" s="545">
        <f t="shared" si="15"/>
        <v>0</v>
      </c>
      <c r="V28" s="700">
        <f t="shared" si="15"/>
        <v>0</v>
      </c>
      <c r="W28" s="547">
        <f t="shared" si="15"/>
        <v>0</v>
      </c>
      <c r="X28" s="700">
        <f t="shared" si="15"/>
        <v>0</v>
      </c>
      <c r="Y28" s="547">
        <f t="shared" si="15"/>
        <v>0</v>
      </c>
      <c r="Z28" s="545">
        <f t="shared" si="15"/>
        <v>0</v>
      </c>
      <c r="AA28" s="571">
        <f t="shared" si="15"/>
        <v>0</v>
      </c>
      <c r="AB28" s="545">
        <f t="shared" si="15"/>
        <v>0</v>
      </c>
      <c r="AC28" s="545">
        <f t="shared" si="15"/>
        <v>0</v>
      </c>
      <c r="AD28" s="545">
        <f t="shared" si="15"/>
        <v>0</v>
      </c>
      <c r="AE28" s="545"/>
      <c r="AF28" s="545">
        <f>MIN(0,AF25-2*AF26)</f>
        <v>0</v>
      </c>
      <c r="AG28" s="545">
        <f>MIN(0,AG25-2*AG26)</f>
        <v>0</v>
      </c>
      <c r="AH28" s="545">
        <f>MIN(0,AH25-2*AH26)</f>
        <v>0</v>
      </c>
      <c r="AI28" s="545">
        <f>MIN(0,AI25-2*AI26)</f>
        <v>0</v>
      </c>
      <c r="AJ28" s="545"/>
      <c r="AK28" s="545">
        <f t="shared" ref="AK28:BS28" si="16">MIN(0,AK25-2*AK26)</f>
        <v>0</v>
      </c>
      <c r="AL28" s="545">
        <f t="shared" si="16"/>
        <v>0</v>
      </c>
      <c r="AM28" s="545">
        <f t="shared" si="16"/>
        <v>0</v>
      </c>
      <c r="AN28" s="545">
        <f t="shared" si="16"/>
        <v>0</v>
      </c>
      <c r="AO28" s="545">
        <f t="shared" si="16"/>
        <v>0</v>
      </c>
      <c r="AP28" s="545">
        <f t="shared" si="16"/>
        <v>0</v>
      </c>
      <c r="AQ28" s="545">
        <f t="shared" si="16"/>
        <v>0</v>
      </c>
      <c r="AR28" s="545">
        <f t="shared" si="16"/>
        <v>0</v>
      </c>
      <c r="AS28" s="545">
        <f t="shared" si="16"/>
        <v>0</v>
      </c>
      <c r="AT28" s="545">
        <f t="shared" si="16"/>
        <v>0</v>
      </c>
      <c r="AU28" s="545">
        <f t="shared" si="16"/>
        <v>0</v>
      </c>
      <c r="AV28" s="545">
        <f t="shared" si="16"/>
        <v>0</v>
      </c>
      <c r="AW28" s="545">
        <f t="shared" si="16"/>
        <v>0</v>
      </c>
      <c r="AX28" s="545">
        <f t="shared" si="16"/>
        <v>0</v>
      </c>
      <c r="AY28" s="545">
        <f t="shared" si="16"/>
        <v>0</v>
      </c>
      <c r="AZ28" s="545">
        <f t="shared" si="16"/>
        <v>0</v>
      </c>
      <c r="BA28" s="545">
        <f t="shared" si="16"/>
        <v>0</v>
      </c>
      <c r="BB28" s="545">
        <f t="shared" si="16"/>
        <v>0</v>
      </c>
      <c r="BC28" s="545">
        <f t="shared" si="16"/>
        <v>0</v>
      </c>
      <c r="BD28" s="545">
        <f t="shared" si="16"/>
        <v>0</v>
      </c>
      <c r="BE28" s="545">
        <f t="shared" si="16"/>
        <v>0</v>
      </c>
      <c r="BF28" s="545">
        <f t="shared" si="16"/>
        <v>0</v>
      </c>
      <c r="BG28" s="917">
        <f t="shared" si="16"/>
        <v>0</v>
      </c>
      <c r="BH28" s="917">
        <f t="shared" si="16"/>
        <v>0</v>
      </c>
      <c r="BI28" s="565">
        <f t="shared" si="16"/>
        <v>0</v>
      </c>
      <c r="BJ28" s="571">
        <f t="shared" si="16"/>
        <v>0</v>
      </c>
      <c r="BK28" s="629">
        <f t="shared" si="16"/>
        <v>0</v>
      </c>
      <c r="BL28" s="700">
        <f t="shared" si="16"/>
        <v>0</v>
      </c>
      <c r="BM28" s="700">
        <f t="shared" si="16"/>
        <v>0</v>
      </c>
      <c r="BN28" s="545">
        <f t="shared" si="16"/>
        <v>0</v>
      </c>
      <c r="BO28" s="545">
        <f t="shared" si="16"/>
        <v>0</v>
      </c>
      <c r="BP28" s="545">
        <f t="shared" si="16"/>
        <v>0</v>
      </c>
      <c r="BQ28" s="545">
        <f t="shared" si="16"/>
        <v>0</v>
      </c>
      <c r="BR28" s="545">
        <f t="shared" si="16"/>
        <v>0</v>
      </c>
      <c r="BS28" s="545">
        <f t="shared" si="16"/>
        <v>0</v>
      </c>
      <c r="BT28" s="545">
        <f>MIN(0,(BT25-ultimoDiaTrim)-2*BT26)</f>
        <v>0</v>
      </c>
      <c r="BU28" s="545">
        <f>BU26+2*BU27</f>
        <v>0</v>
      </c>
      <c r="BV28" s="561">
        <f>BV26+2*BV27</f>
        <v>0</v>
      </c>
    </row>
    <row r="29" spans="1:74">
      <c r="C29" s="73"/>
      <c r="D29" s="514"/>
    </row>
    <row r="32" spans="1:74">
      <c r="C32" s="489" t="str">
        <f>Criterios!A4</f>
        <v>Fecha Informe: 06 jun. 2023</v>
      </c>
    </row>
    <row r="34" spans="3:4">
      <c r="C34" s="573"/>
      <c r="D34" s="574"/>
    </row>
  </sheetData>
  <sheetProtection algorithmName="SHA-512" hashValue="nBewkk965JKUxuvzGfIn13ucZpssYOzWTzed4uFQqSxXNEfAt10Q+VU845JuDioJNRfOQFVli/46m4/f3GXlYw==" saltValue="cLQBkfDghDEmLMjyx11sr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19">
    <cfRule type="expression" dxfId="901" priority="701" stopIfTrue="1">
      <formula>IF(F9&lt;&gt;G9,TRUE,FALSE)</formula>
    </cfRule>
  </conditionalFormatting>
  <conditionalFormatting sqref="G10 G13 G16:G19">
    <cfRule type="cellIs" dxfId="900" priority="702" stopIfTrue="1" operator="notBetween">
      <formula>$G$27</formula>
      <formula>$G$28</formula>
    </cfRule>
  </conditionalFormatting>
  <conditionalFormatting sqref="L9:L13 L16:L19">
    <cfRule type="cellIs" dxfId="899" priority="452" stopIfTrue="1" operator="notBetween">
      <formula>$L$27</formula>
      <formula>$L$28</formula>
    </cfRule>
  </conditionalFormatting>
  <conditionalFormatting sqref="O9:O13 O16:O19">
    <cfRule type="cellIs" dxfId="898" priority="450" stopIfTrue="1" operator="notBetween">
      <formula>$O$27</formula>
      <formula>$O$28</formula>
    </cfRule>
  </conditionalFormatting>
  <conditionalFormatting sqref="R9:R13 R16:R19">
    <cfRule type="cellIs" dxfId="897" priority="447" stopIfTrue="1" operator="notBetween">
      <formula>$R$27</formula>
      <formula>$R$28</formula>
    </cfRule>
  </conditionalFormatting>
  <conditionalFormatting sqref="H9:H13 H16:H19">
    <cfRule type="cellIs" dxfId="896" priority="446" stopIfTrue="1" operator="notBetween">
      <formula>$H$27</formula>
      <formula>$H$28</formula>
    </cfRule>
  </conditionalFormatting>
  <conditionalFormatting sqref="T16:T19 T9:T13">
    <cfRule type="cellIs" dxfId="895" priority="445" stopIfTrue="1" operator="notBetween">
      <formula>$T$27</formula>
      <formula>$T$28</formula>
    </cfRule>
  </conditionalFormatting>
  <conditionalFormatting sqref="U9:U13 U16:U19">
    <cfRule type="cellIs" dxfId="894" priority="444" stopIfTrue="1" operator="notBetween">
      <formula>$U$27</formula>
      <formula>$U$28</formula>
    </cfRule>
  </conditionalFormatting>
  <conditionalFormatting sqref="V9:V13 V16:V19">
    <cfRule type="cellIs" dxfId="893" priority="443" stopIfTrue="1" operator="notBetween">
      <formula>$V$27</formula>
      <formula>$V$28</formula>
    </cfRule>
  </conditionalFormatting>
  <conditionalFormatting sqref="Y16:Y19 Y9:Y13">
    <cfRule type="cellIs" dxfId="892" priority="441" stopIfTrue="1" operator="notBetween">
      <formula>$Y$27</formula>
      <formula>$Y$28</formula>
    </cfRule>
  </conditionalFormatting>
  <conditionalFormatting sqref="Z9:Z13 Z16:Z19">
    <cfRule type="cellIs" dxfId="891" priority="439" stopIfTrue="1" operator="notBetween">
      <formula>$Z$27</formula>
      <formula>$Z$28</formula>
    </cfRule>
  </conditionalFormatting>
  <conditionalFormatting sqref="AA9:AA13 AA16:AA19">
    <cfRule type="cellIs" dxfId="890" priority="438" stopIfTrue="1" operator="notBetween">
      <formula>$AA$27</formula>
      <formula>$AA$28</formula>
    </cfRule>
  </conditionalFormatting>
  <conditionalFormatting sqref="AK9:AK13 AK16:AK19">
    <cfRule type="cellIs" dxfId="889" priority="433" stopIfTrue="1" operator="notBetween">
      <formula>$AK$27</formula>
      <formula>$AK$28</formula>
    </cfRule>
  </conditionalFormatting>
  <conditionalFormatting sqref="AL9:AL13 AL16:AL19">
    <cfRule type="cellIs" dxfId="888" priority="432" stopIfTrue="1" operator="notBetween">
      <formula>$AL$27</formula>
      <formula>$AL$28</formula>
    </cfRule>
  </conditionalFormatting>
  <conditionalFormatting sqref="AW9:AW13 AW16:AW19">
    <cfRule type="cellIs" dxfId="887" priority="422" stopIfTrue="1" operator="notBetween">
      <formula>$AW$27</formula>
      <formula>$AW$28</formula>
    </cfRule>
  </conditionalFormatting>
  <conditionalFormatting sqref="AX9:AX13 AX16:AX19">
    <cfRule type="cellIs" dxfId="886" priority="421" stopIfTrue="1" operator="notBetween">
      <formula>$AX$27</formula>
      <formula>$AX$28</formula>
    </cfRule>
  </conditionalFormatting>
  <conditionalFormatting sqref="AY9:AY13 AY16:AY19">
    <cfRule type="cellIs" dxfId="885" priority="420" stopIfTrue="1" operator="notBetween">
      <formula>$AY$27</formula>
      <formula>$AY$28</formula>
    </cfRule>
  </conditionalFormatting>
  <conditionalFormatting sqref="AZ9:AZ13 AZ16:AZ19">
    <cfRule type="cellIs" dxfId="884" priority="419" stopIfTrue="1" operator="notBetween">
      <formula>$AZ$27</formula>
      <formula>$AZ$28</formula>
    </cfRule>
  </conditionalFormatting>
  <conditionalFormatting sqref="BA9:BA13 BA16:BA19">
    <cfRule type="cellIs" dxfId="883" priority="418" stopIfTrue="1" operator="notBetween">
      <formula>$BA$27</formula>
      <formula>$BA$28</formula>
    </cfRule>
  </conditionalFormatting>
  <conditionalFormatting sqref="BB9:BB13 BB16:BB19">
    <cfRule type="cellIs" dxfId="882" priority="417" stopIfTrue="1" operator="notBetween">
      <formula>$BB$27</formula>
      <formula>$BB$28</formula>
    </cfRule>
  </conditionalFormatting>
  <conditionalFormatting sqref="BE9:BE13 BE16:BE19">
    <cfRule type="cellIs" dxfId="881" priority="414" stopIfTrue="1" operator="notBetween">
      <formula>$BE$27</formula>
      <formula>$BE$28</formula>
    </cfRule>
  </conditionalFormatting>
  <conditionalFormatting sqref="BF9:BF13 BF16:BF19">
    <cfRule type="cellIs" dxfId="880" priority="413" stopIfTrue="1" operator="notBetween">
      <formula>$BF$27</formula>
      <formula>$BF$28</formula>
    </cfRule>
  </conditionalFormatting>
  <conditionalFormatting sqref="BI9:BI13 BI16:BI19">
    <cfRule type="cellIs" dxfId="879" priority="410" stopIfTrue="1" operator="notBetween">
      <formula>$BI$27</formula>
      <formula>$BI$28</formula>
    </cfRule>
  </conditionalFormatting>
  <conditionalFormatting sqref="BJ9:BJ13 BJ16:BJ19">
    <cfRule type="cellIs" dxfId="878" priority="409" stopIfTrue="1" operator="notBetween">
      <formula>$BJ$27</formula>
      <formula>$BJ$28</formula>
    </cfRule>
  </conditionalFormatting>
  <conditionalFormatting sqref="BK9:BK13 BK16:BK19">
    <cfRule type="cellIs" dxfId="877" priority="408" stopIfTrue="1" operator="notBetween">
      <formula>$BK$27</formula>
      <formula>$BK$28</formula>
    </cfRule>
  </conditionalFormatting>
  <conditionalFormatting sqref="BM9:BM13 BM16:BM19">
    <cfRule type="cellIs" dxfId="876" priority="406" stopIfTrue="1" operator="notBetween">
      <formula>$BM$27</formula>
      <formula>$BM$28</formula>
    </cfRule>
  </conditionalFormatting>
  <conditionalFormatting sqref="BN9:BN13 BN16:BN19">
    <cfRule type="cellIs" dxfId="875" priority="405" stopIfTrue="1" operator="notBetween">
      <formula>$BN$27</formula>
      <formula>$BN$28</formula>
    </cfRule>
  </conditionalFormatting>
  <conditionalFormatting sqref="BO9:BO13 BO16:BO19">
    <cfRule type="cellIs" dxfId="874" priority="404" stopIfTrue="1" operator="notBetween">
      <formula>$BO$27</formula>
      <formula>$BO$28</formula>
    </cfRule>
  </conditionalFormatting>
  <conditionalFormatting sqref="BQ9:BQ13 BQ16:BQ19">
    <cfRule type="cellIs" dxfId="873" priority="403" stopIfTrue="1" operator="notBetween">
      <formula>$BQ$27</formula>
      <formula>$BQ$28</formula>
    </cfRule>
  </conditionalFormatting>
  <conditionalFormatting sqref="BS9:BS13 BS16:BS19">
    <cfRule type="cellIs" dxfId="872" priority="402" stopIfTrue="1" operator="notBetween">
      <formula>$BS$27</formula>
      <formula>$BS$28</formula>
    </cfRule>
  </conditionalFormatting>
  <conditionalFormatting sqref="Q9:Q13 Q16:Q19">
    <cfRule type="cellIs" dxfId="871" priority="401" stopIfTrue="1" operator="notBetween">
      <formula>$Q$27</formula>
      <formula>$Q$28</formula>
    </cfRule>
  </conditionalFormatting>
  <conditionalFormatting sqref="J16:K19 J9:K13">
    <cfRule type="cellIs" dxfId="870" priority="351" stopIfTrue="1" operator="notBetween">
      <formula>$K$27</formula>
      <formula>$K$28</formula>
    </cfRule>
  </conditionalFormatting>
  <conditionalFormatting sqref="N9:N13 N16:N19">
    <cfRule type="cellIs" dxfId="869" priority="349" stopIfTrue="1" operator="notBetween">
      <formula>$N$27</formula>
      <formula>$N$28</formula>
    </cfRule>
  </conditionalFormatting>
  <conditionalFormatting sqref="AD16:AE19 AD9:AE13">
    <cfRule type="cellIs" dxfId="868" priority="312" stopIfTrue="1" operator="notBetween">
      <formula>$AD$27</formula>
      <formula>$AD$28</formula>
    </cfRule>
  </conditionalFormatting>
  <conditionalFormatting sqref="AH9:AH13 AH16:AH19">
    <cfRule type="cellIs" dxfId="867" priority="310" stopIfTrue="1" operator="notBetween">
      <formula>$AH$27</formula>
      <formula>$AH$28</formula>
    </cfRule>
  </conditionalFormatting>
  <conditionalFormatting sqref="AI16:AJ19 AI9:AJ13">
    <cfRule type="cellIs" dxfId="866" priority="309" stopIfTrue="1" operator="notBetween">
      <formula>$AI$27</formula>
      <formula>$AI$28</formula>
    </cfRule>
  </conditionalFormatting>
  <conditionalFormatting sqref="AR9:AR13 AR16:AR19">
    <cfRule type="cellIs" dxfId="865" priority="308" stopIfTrue="1" operator="notBetween">
      <formula>$AR$27</formula>
      <formula>$AR$28</formula>
    </cfRule>
  </conditionalFormatting>
  <conditionalFormatting sqref="AC9:AC13 AC16:AC19">
    <cfRule type="cellIs" dxfId="864" priority="302" stopIfTrue="1" operator="notBetween">
      <formula>$AC$27</formula>
      <formula>$AC$28</formula>
    </cfRule>
  </conditionalFormatting>
  <conditionalFormatting sqref="E9:E13 E16:E19">
    <cfRule type="cellIs" dxfId="863" priority="297" stopIfTrue="1" operator="notBetween">
      <formula>$E$27</formula>
      <formula>$E$28</formula>
    </cfRule>
  </conditionalFormatting>
  <conditionalFormatting sqref="F9:F13 F16:F19">
    <cfRule type="cellIs" dxfId="862" priority="296" stopIfTrue="1" operator="notBetween">
      <formula>$F$27</formula>
      <formula>$F$28</formula>
    </cfRule>
  </conditionalFormatting>
  <conditionalFormatting sqref="I9:I13 I16:I19">
    <cfRule type="cellIs" dxfId="861" priority="716" stopIfTrue="1" operator="notBetween">
      <formula>$I$27</formula>
      <formula>$I$28</formula>
    </cfRule>
  </conditionalFormatting>
  <conditionalFormatting sqref="AB9:AB13 AB16:AB19">
    <cfRule type="cellIs" dxfId="860" priority="294" stopIfTrue="1" operator="notBetween">
      <formula>$AB$27</formula>
      <formula>$AB$28</formula>
    </cfRule>
  </conditionalFormatting>
  <conditionalFormatting sqref="AF9:AF13 AF16:AF19">
    <cfRule type="cellIs" dxfId="859" priority="293" stopIfTrue="1" operator="notBetween">
      <formula>$AF$27</formula>
      <formula>$AF$28</formula>
    </cfRule>
  </conditionalFormatting>
  <conditionalFormatting sqref="AM9:AM13 AM16:AM19">
    <cfRule type="cellIs" dxfId="858" priority="292" stopIfTrue="1" operator="notBetween">
      <formula>$AM$27</formula>
      <formula>$AM$28</formula>
    </cfRule>
  </conditionalFormatting>
  <conditionalFormatting sqref="AS9:AS13 AS16:AS19">
    <cfRule type="cellIs" dxfId="857" priority="291" stopIfTrue="1" operator="notBetween">
      <formula>$AS$27</formula>
      <formula>$AS$28</formula>
    </cfRule>
  </conditionalFormatting>
  <conditionalFormatting sqref="AT9:AT13 AT16:AT19">
    <cfRule type="cellIs" dxfId="856" priority="290" stopIfTrue="1" operator="notBetween">
      <formula>$AT$27</formula>
      <formula>$AT$28</formula>
    </cfRule>
  </conditionalFormatting>
  <conditionalFormatting sqref="AU9:AU13 AU16:AU19">
    <cfRule type="cellIs" dxfId="855" priority="289" stopIfTrue="1" operator="notBetween">
      <formula>$AU$27</formula>
      <formula>$AU$28</formula>
    </cfRule>
  </conditionalFormatting>
  <conditionalFormatting sqref="AV9:AV13 AV16:AV19">
    <cfRule type="cellIs" dxfId="854" priority="288" stopIfTrue="1" operator="notBetween">
      <formula>$AV$27</formula>
      <formula>$AV$28</formula>
    </cfRule>
  </conditionalFormatting>
  <conditionalFormatting sqref="BD9:BD13 BD16:BD19">
    <cfRule type="cellIs" dxfId="853" priority="287" stopIfTrue="1" operator="notBetween">
      <formula>$BD$27</formula>
      <formula>$BD$28</formula>
    </cfRule>
  </conditionalFormatting>
  <conditionalFormatting sqref="BG9:BG13 BG16:BG19">
    <cfRule type="cellIs" dxfId="852" priority="286" stopIfTrue="1" operator="notBetween">
      <formula>$BG$27</formula>
      <formula>$BG$28</formula>
    </cfRule>
  </conditionalFormatting>
  <conditionalFormatting sqref="BH9:BH13 BH16:BH19">
    <cfRule type="cellIs" dxfId="851" priority="285" stopIfTrue="1" operator="notBetween">
      <formula>$BH$27</formula>
      <formula>$BH$28</formula>
    </cfRule>
  </conditionalFormatting>
  <conditionalFormatting sqref="BL9:BL13 BL16:BL19">
    <cfRule type="cellIs" dxfId="850" priority="284" stopIfTrue="1" operator="notBetween">
      <formula>$BL$27</formula>
      <formula>$BL$28</formula>
    </cfRule>
  </conditionalFormatting>
  <conditionalFormatting sqref="BC9:BC13 BC16:BC19">
    <cfRule type="cellIs" dxfId="849" priority="283" stopIfTrue="1" operator="notBetween">
      <formula>$BC$27</formula>
      <formula>$BC$28</formula>
    </cfRule>
  </conditionalFormatting>
  <conditionalFormatting sqref="I11">
    <cfRule type="cellIs" dxfId="848" priority="2449" stopIfTrue="1" operator="greaterThan">
      <formula>#REF!</formula>
    </cfRule>
    <cfRule type="cellIs" dxfId="847" priority="2450" stopIfTrue="1" operator="lessThan">
      <formula>#REF!</formula>
    </cfRule>
  </conditionalFormatting>
  <conditionalFormatting sqref="I12">
    <cfRule type="cellIs" dxfId="846" priority="2451" stopIfTrue="1" operator="greaterThan">
      <formula>#REF!</formula>
    </cfRule>
    <cfRule type="cellIs" dxfId="845" priority="2452" stopIfTrue="1" operator="lessThan">
      <formula>#REF!</formula>
    </cfRule>
  </conditionalFormatting>
  <conditionalFormatting sqref="BP9:BP13 BP16:BP19">
    <cfRule type="cellIs" dxfId="844" priority="2" stopIfTrue="1" operator="notBetween">
      <formula>$BP$27</formula>
      <formula>$BP$28</formula>
    </cfRule>
  </conditionalFormatting>
  <conditionalFormatting sqref="BR9:BR13 BR16:BR19">
    <cfRule type="cellIs" dxfId="843" priority="1" stopIfTrue="1" operator="notBetween">
      <formula>$BR$27</formula>
      <formula>$BR$28</formula>
    </cfRule>
  </conditionalFormatting>
  <conditionalFormatting sqref="W9">
    <cfRule type="cellIs" dxfId="842" priority="2561" stopIfTrue="1" operator="greaterThan">
      <formula>$BV$9*$E$9</formula>
    </cfRule>
    <cfRule type="cellIs" dxfId="841" priority="2562" stopIfTrue="1" operator="lessThan">
      <formula>$BV$9*$E$9</formula>
    </cfRule>
  </conditionalFormatting>
  <conditionalFormatting sqref="W10">
    <cfRule type="cellIs" dxfId="840" priority="2570" stopIfTrue="1" operator="greaterThan">
      <formula>$BV$10*$E$10</formula>
    </cfRule>
    <cfRule type="cellIs" dxfId="839" priority="2571" stopIfTrue="1" operator="lessThan">
      <formula>$BV$10*$E$10</formula>
    </cfRule>
  </conditionalFormatting>
  <conditionalFormatting sqref="W11">
    <cfRule type="cellIs" dxfId="838" priority="2574" stopIfTrue="1" operator="greaterThan">
      <formula>$BV$11*$E$11</formula>
    </cfRule>
    <cfRule type="cellIs" dxfId="837" priority="2575" stopIfTrue="1" operator="lessThan">
      <formula>$BV$11*$E$11</formula>
    </cfRule>
  </conditionalFormatting>
  <conditionalFormatting sqref="W12">
    <cfRule type="cellIs" dxfId="836" priority="2576" stopIfTrue="1" operator="greaterThan">
      <formula>$BV$12*$E$12</formula>
    </cfRule>
    <cfRule type="cellIs" dxfId="835" priority="2577" stopIfTrue="1" operator="lessThan">
      <formula>$BV$12*$E$12</formula>
    </cfRule>
  </conditionalFormatting>
  <conditionalFormatting sqref="W13">
    <cfRule type="cellIs" dxfId="834" priority="2578" stopIfTrue="1" operator="greaterThan">
      <formula>$BV$13*$E$13</formula>
    </cfRule>
    <cfRule type="cellIs" dxfId="833" priority="2579" stopIfTrue="1" operator="lessThan">
      <formula>$BV$13*$E$13</formula>
    </cfRule>
  </conditionalFormatting>
  <conditionalFormatting sqref="W16">
    <cfRule type="cellIs" dxfId="832" priority="2590" stopIfTrue="1" operator="greaterThan">
      <formula>$BV$16*$E$16</formula>
    </cfRule>
    <cfRule type="cellIs" dxfId="831" priority="2591" stopIfTrue="1" operator="lessThan">
      <formula>$BV$16*$E$16</formula>
    </cfRule>
  </conditionalFormatting>
  <conditionalFormatting sqref="W17">
    <cfRule type="cellIs" dxfId="830" priority="2592" stopIfTrue="1" operator="greaterThan">
      <formula>$BV$17*$E$17</formula>
    </cfRule>
    <cfRule type="cellIs" dxfId="829" priority="2593" stopIfTrue="1" operator="lessThan">
      <formula>$BV$17*$E$17</formula>
    </cfRule>
  </conditionalFormatting>
  <conditionalFormatting sqref="W18">
    <cfRule type="cellIs" dxfId="828" priority="2594" stopIfTrue="1" operator="greaterThan">
      <formula>$BV$18*$E$18</formula>
    </cfRule>
    <cfRule type="cellIs" dxfId="827" priority="2595" stopIfTrue="1" operator="lessThan">
      <formula>$BV$18*$E$18</formula>
    </cfRule>
  </conditionalFormatting>
  <conditionalFormatting sqref="W19">
    <cfRule type="cellIs" dxfId="826" priority="2596" stopIfTrue="1" operator="greaterThan">
      <formula>$BV$19*$E$19</formula>
    </cfRule>
    <cfRule type="cellIs" dxfId="825" priority="2597" stopIfTrue="1" operator="lessThan">
      <formula>$BV$19*$E$19</formula>
    </cfRule>
  </conditionalFormatting>
  <conditionalFormatting sqref="BT9:BT13 BT16:BT19">
    <cfRule type="expression" dxfId="824" priority="4054" stopIfTrue="1">
      <formula>NOT(AND($BT9-ultimoDiaTrim&gt;=$BT$28,$BT9-ultimoDiaTrim&lt;=$BT$27))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5"/>
  <sheetViews>
    <sheetView topLeftCell="C1" zoomScale="85" zoomScaleNormal="85" workbookViewId="0">
      <selection activeCell="C5" sqref="C5:C6"/>
    </sheetView>
  </sheetViews>
  <sheetFormatPr baseColWidth="10" defaultColWidth="11.42578125" defaultRowHeight="12.75"/>
  <cols>
    <col min="1" max="1" width="8.85546875" style="520" hidden="1" customWidth="1"/>
    <col min="2" max="2" width="9.42578125" style="520" hidden="1" customWidth="1"/>
    <col min="3" max="3" width="37.28515625" style="582" bestFit="1" customWidth="1"/>
    <col min="4" max="4" width="7.42578125" style="489" customWidth="1"/>
    <col min="5" max="5" width="15.5703125" style="489" customWidth="1"/>
    <col min="6" max="6" width="15.85546875" style="489" customWidth="1"/>
    <col min="7" max="7" width="13.5703125" style="532" customWidth="1"/>
    <col min="8" max="9" width="14" style="489" customWidth="1"/>
    <col min="10" max="10" width="14.42578125" customWidth="1"/>
    <col min="11" max="13" width="14" style="665" customWidth="1"/>
    <col min="14" max="15" width="14" style="489" customWidth="1"/>
    <col min="16" max="17" width="14" style="528" customWidth="1"/>
    <col min="18" max="18" width="14" style="624" customWidth="1"/>
    <col min="19" max="19" width="14.28515625" style="528" customWidth="1"/>
    <col min="20" max="20" width="13.7109375" customWidth="1"/>
    <col min="21" max="21" width="13" style="489" customWidth="1"/>
    <col min="22" max="22" width="14.28515625" style="665" customWidth="1"/>
    <col min="23" max="23" width="12.85546875" style="489" customWidth="1"/>
    <col min="24" max="24" width="14.28515625" style="528" customWidth="1"/>
    <col min="25" max="26" width="14.28515625" style="624" customWidth="1"/>
    <col min="27" max="27" width="13.7109375" style="489" customWidth="1"/>
    <col min="28" max="29" width="16.28515625" style="489" customWidth="1"/>
    <col min="30" max="30" width="15.140625" style="489" customWidth="1"/>
    <col min="31" max="31" width="16.28515625" style="489" customWidth="1"/>
    <col min="32" max="32" width="12.5703125" style="489" customWidth="1"/>
    <col min="33" max="35" width="13" style="489" customWidth="1"/>
    <col min="36" max="37" width="12.85546875" style="489" customWidth="1"/>
    <col min="38" max="39" width="11.42578125" style="489"/>
    <col min="40" max="40" width="12.42578125" style="489" customWidth="1"/>
    <col min="41" max="41" width="12.28515625" style="489" customWidth="1"/>
    <col min="42" max="42" width="16.140625" style="528" customWidth="1"/>
    <col min="43" max="48" width="16.140625" style="624" customWidth="1"/>
    <col min="49" max="49" width="14.85546875" style="489" customWidth="1"/>
    <col min="50" max="50" width="11.42578125" style="529"/>
    <col min="51" max="51" width="11.5703125" customWidth="1"/>
    <col min="52" max="52" width="11.42578125" style="489" customWidth="1"/>
    <col min="53" max="64" width="11.42578125" style="489"/>
    <col min="65" max="69" width="11.42578125" style="489" customWidth="1"/>
    <col min="70" max="72" width="11.42578125" style="489"/>
    <col min="73" max="73" width="14.85546875" style="529" hidden="1" customWidth="1"/>
    <col min="74" max="16384" width="11.42578125" style="489"/>
  </cols>
  <sheetData>
    <row r="1" spans="1:73">
      <c r="C1" s="575" t="str">
        <f>Criterios!A9 &amp;"  "&amp;Criterios!B9</f>
        <v>Tribunales de Justicia  ANDALUCIA</v>
      </c>
    </row>
    <row r="2" spans="1:73" ht="16.5" customHeight="1">
      <c r="C2" s="575" t="str">
        <f>Criterios!A10 &amp;"  "&amp;Criterios!B10 &amp; "  " &amp; IF(NOT(ISBLANK(Criterios!A11)),Criterios!A11 &amp;"  "&amp;Criterios!B11,"")</f>
        <v>Provincias  CORDOBA  Resumenes por Partidos Judiciales  PUENTE GENIL</v>
      </c>
      <c r="D2" s="521"/>
      <c r="E2" s="521"/>
      <c r="F2" s="524"/>
      <c r="G2" s="525"/>
      <c r="H2" s="524"/>
      <c r="I2" s="524"/>
      <c r="J2" s="339"/>
      <c r="K2" s="661"/>
      <c r="L2" s="661"/>
      <c r="M2" s="661"/>
      <c r="N2" s="524"/>
      <c r="O2" s="524"/>
      <c r="P2" s="526"/>
      <c r="Q2" s="526"/>
      <c r="R2" s="635"/>
      <c r="S2" s="526"/>
      <c r="V2" s="661"/>
    </row>
    <row r="3" spans="1:73" ht="25.5" customHeight="1">
      <c r="C3" s="1274"/>
      <c r="D3" s="530"/>
      <c r="E3" s="530"/>
      <c r="G3" s="533"/>
      <c r="H3" s="527"/>
      <c r="I3" s="527"/>
      <c r="K3" s="661"/>
      <c r="L3" s="661"/>
      <c r="M3" s="661"/>
      <c r="N3" s="527"/>
      <c r="O3" s="527"/>
      <c r="P3" s="526"/>
      <c r="Q3" s="526"/>
      <c r="R3" s="635"/>
    </row>
    <row r="4" spans="1:73" ht="18.75" customHeight="1" thickBot="1">
      <c r="C4" s="1275"/>
      <c r="D4" s="534"/>
      <c r="E4" s="534"/>
      <c r="F4" s="537"/>
      <c r="G4" s="536"/>
      <c r="H4" s="537"/>
      <c r="I4" s="537"/>
      <c r="J4" s="338"/>
      <c r="K4" s="661"/>
      <c r="L4" s="661"/>
      <c r="M4" s="661"/>
      <c r="N4" s="537"/>
      <c r="O4" s="537"/>
      <c r="P4" s="526"/>
      <c r="Q4" s="526"/>
      <c r="R4" s="635"/>
      <c r="S4" s="526"/>
      <c r="V4" s="661"/>
      <c r="BU4" s="536"/>
    </row>
    <row r="5" spans="1:73" ht="15.75" customHeight="1">
      <c r="A5" s="1424" t="s">
        <v>391</v>
      </c>
      <c r="B5" s="277"/>
      <c r="C5" s="1701" t="str">
        <f>"Año:  " &amp;Criterios!B$5 &amp; "          Trimestre   " &amp;Criterios!D$5 &amp; " al " &amp;Criterios!D$6</f>
        <v>Año:  2023          Trimestre   1 al 1</v>
      </c>
      <c r="D5" s="1703" t="s">
        <v>417</v>
      </c>
      <c r="E5" s="1660" t="s">
        <v>621</v>
      </c>
      <c r="F5" s="1671" t="s">
        <v>448</v>
      </c>
      <c r="G5" s="1660" t="s">
        <v>141</v>
      </c>
      <c r="H5" s="1660" t="s">
        <v>651</v>
      </c>
      <c r="I5" s="1660" t="s">
        <v>622</v>
      </c>
      <c r="J5" s="1660" t="s">
        <v>750</v>
      </c>
      <c r="K5" s="1660" t="s">
        <v>623</v>
      </c>
      <c r="L5" s="1660" t="s">
        <v>649</v>
      </c>
      <c r="M5" s="1660" t="s">
        <v>751</v>
      </c>
      <c r="N5" s="1660" t="s">
        <v>648</v>
      </c>
      <c r="O5" s="1660" t="s">
        <v>676</v>
      </c>
      <c r="P5" s="1666" t="s">
        <v>743</v>
      </c>
      <c r="Q5" s="1666" t="s">
        <v>745</v>
      </c>
      <c r="R5" s="1660" t="s">
        <v>655</v>
      </c>
      <c r="S5" s="1660" t="s">
        <v>624</v>
      </c>
      <c r="T5" s="1660" t="s">
        <v>842</v>
      </c>
      <c r="U5" s="1660" t="s">
        <v>843</v>
      </c>
      <c r="V5" s="1680" t="s">
        <v>734</v>
      </c>
      <c r="W5" s="1677" t="s">
        <v>637</v>
      </c>
      <c r="X5" s="1695" t="s">
        <v>638</v>
      </c>
      <c r="Y5" s="1698" t="s">
        <v>656</v>
      </c>
      <c r="Z5" s="1698" t="s">
        <v>677</v>
      </c>
      <c r="AA5" s="1660" t="s">
        <v>628</v>
      </c>
      <c r="AB5" s="1660" t="s">
        <v>639</v>
      </c>
      <c r="AC5" s="1660" t="s">
        <v>640</v>
      </c>
      <c r="AD5" s="1660" t="s">
        <v>594</v>
      </c>
      <c r="AE5" s="1660" t="s">
        <v>752</v>
      </c>
      <c r="AF5" s="1660" t="s">
        <v>204</v>
      </c>
      <c r="AG5" s="1660" t="s">
        <v>641</v>
      </c>
      <c r="AH5" s="1660" t="s">
        <v>629</v>
      </c>
      <c r="AI5" s="1660" t="s">
        <v>630</v>
      </c>
      <c r="AJ5" s="1660" t="s">
        <v>642</v>
      </c>
      <c r="AK5" s="1660" t="s">
        <v>643</v>
      </c>
      <c r="AL5" s="1660" t="s">
        <v>644</v>
      </c>
      <c r="AM5" s="1692" t="s">
        <v>645</v>
      </c>
      <c r="AN5" s="1660" t="s">
        <v>276</v>
      </c>
      <c r="AO5" s="1660" t="s">
        <v>632</v>
      </c>
      <c r="AP5" s="1660" t="s">
        <v>633</v>
      </c>
      <c r="AQ5" s="1660" t="s">
        <v>657</v>
      </c>
      <c r="AR5" s="1660" t="s">
        <v>658</v>
      </c>
      <c r="AS5" s="1660" t="s">
        <v>660</v>
      </c>
      <c r="AT5" s="1660" t="s">
        <v>653</v>
      </c>
      <c r="AU5" s="1660" t="s">
        <v>915</v>
      </c>
      <c r="AV5" s="1660" t="s">
        <v>370</v>
      </c>
      <c r="AW5" s="1660" t="s">
        <v>646</v>
      </c>
      <c r="AX5" s="1660" t="s">
        <v>599</v>
      </c>
      <c r="BU5" s="1660" t="s">
        <v>844</v>
      </c>
    </row>
    <row r="6" spans="1:73" ht="21.75" customHeight="1">
      <c r="A6" s="1425"/>
      <c r="B6" s="278"/>
      <c r="C6" s="1702"/>
      <c r="D6" s="1704"/>
      <c r="E6" s="1661"/>
      <c r="F6" s="1672"/>
      <c r="G6" s="1661"/>
      <c r="H6" s="1661"/>
      <c r="I6" s="1661"/>
      <c r="J6" s="1661"/>
      <c r="K6" s="1661"/>
      <c r="L6" s="1661"/>
      <c r="M6" s="1661"/>
      <c r="N6" s="1661"/>
      <c r="O6" s="1661"/>
      <c r="P6" s="1667"/>
      <c r="Q6" s="1667"/>
      <c r="R6" s="1661"/>
      <c r="S6" s="1661"/>
      <c r="T6" s="1661"/>
      <c r="U6" s="1661"/>
      <c r="V6" s="1681"/>
      <c r="W6" s="1678"/>
      <c r="X6" s="1696"/>
      <c r="Y6" s="1699"/>
      <c r="Z6" s="1699"/>
      <c r="AA6" s="1661"/>
      <c r="AB6" s="1661"/>
      <c r="AC6" s="1661"/>
      <c r="AD6" s="1661"/>
      <c r="AE6" s="1661"/>
      <c r="AF6" s="1661"/>
      <c r="AG6" s="1661"/>
      <c r="AH6" s="1661"/>
      <c r="AI6" s="1661"/>
      <c r="AJ6" s="1661"/>
      <c r="AK6" s="1661"/>
      <c r="AL6" s="1661"/>
      <c r="AM6" s="1693"/>
      <c r="AN6" s="1661"/>
      <c r="AO6" s="1661"/>
      <c r="AP6" s="1661"/>
      <c r="AQ6" s="1661"/>
      <c r="AR6" s="1661"/>
      <c r="AS6" s="1661"/>
      <c r="AT6" s="1661"/>
      <c r="AU6" s="1661"/>
      <c r="AV6" s="1661"/>
      <c r="AW6" s="1661"/>
      <c r="AX6" s="1661"/>
      <c r="BU6" s="1661"/>
    </row>
    <row r="7" spans="1:73" ht="38.25" customHeight="1" thickBot="1">
      <c r="A7" s="1426"/>
      <c r="B7" s="279"/>
      <c r="C7" s="576" t="str">
        <f>Datos!A7</f>
        <v>COMPETENCIAS</v>
      </c>
      <c r="D7" s="1705"/>
      <c r="E7" s="1662"/>
      <c r="F7" s="1673"/>
      <c r="G7" s="1662"/>
      <c r="H7" s="1662"/>
      <c r="I7" s="1662"/>
      <c r="J7" s="1662"/>
      <c r="K7" s="1662"/>
      <c r="L7" s="1662"/>
      <c r="M7" s="1662"/>
      <c r="N7" s="1662"/>
      <c r="O7" s="1662"/>
      <c r="P7" s="1668"/>
      <c r="Q7" s="1668"/>
      <c r="R7" s="1662"/>
      <c r="S7" s="1662"/>
      <c r="T7" s="1662"/>
      <c r="U7" s="1662"/>
      <c r="V7" s="1682"/>
      <c r="W7" s="1679"/>
      <c r="X7" s="1697"/>
      <c r="Y7" s="1700"/>
      <c r="Z7" s="1700"/>
      <c r="AA7" s="1662"/>
      <c r="AB7" s="1662"/>
      <c r="AC7" s="1662"/>
      <c r="AD7" s="1662"/>
      <c r="AE7" s="1662"/>
      <c r="AF7" s="1662"/>
      <c r="AG7" s="1662"/>
      <c r="AH7" s="1662"/>
      <c r="AI7" s="1662"/>
      <c r="AJ7" s="1662"/>
      <c r="AK7" s="1662"/>
      <c r="AL7" s="1662"/>
      <c r="AM7" s="1694"/>
      <c r="AN7" s="1662"/>
      <c r="AO7" s="1662"/>
      <c r="AP7" s="1662"/>
      <c r="AQ7" s="1662"/>
      <c r="AR7" s="1662"/>
      <c r="AS7" s="1662"/>
      <c r="AT7" s="1662"/>
      <c r="AU7" s="1662"/>
      <c r="AV7" s="1662"/>
      <c r="AW7" s="1662"/>
      <c r="AX7" s="1662"/>
      <c r="BU7" s="1662"/>
    </row>
    <row r="8" spans="1:73" ht="15" thickTop="1">
      <c r="A8" s="538"/>
      <c r="B8" s="538"/>
      <c r="C8" s="166" t="str">
        <f>Datos!A8</f>
        <v>Jurisdicción Civil ( 1 ):</v>
      </c>
      <c r="D8" s="543"/>
      <c r="E8" s="630"/>
      <c r="F8" s="221"/>
      <c r="G8" s="494"/>
      <c r="H8" s="222"/>
      <c r="I8" s="221"/>
      <c r="J8" s="222"/>
      <c r="K8" s="222"/>
      <c r="L8" s="222"/>
      <c r="M8" s="222"/>
      <c r="N8" s="222"/>
      <c r="O8" s="222"/>
      <c r="P8" s="495"/>
      <c r="Q8" s="495"/>
      <c r="R8" s="636"/>
      <c r="S8" s="495"/>
      <c r="T8" s="304"/>
      <c r="U8" s="304"/>
      <c r="V8" s="222"/>
      <c r="W8" s="226"/>
      <c r="X8" s="496"/>
      <c r="Y8" s="645"/>
      <c r="Z8" s="645"/>
      <c r="AA8" s="221"/>
      <c r="AB8" s="222"/>
      <c r="AC8" s="222"/>
      <c r="AD8" s="222"/>
      <c r="AE8" s="222"/>
      <c r="AF8" s="314"/>
      <c r="AG8" s="221"/>
      <c r="AH8" s="222"/>
      <c r="AI8" s="223"/>
      <c r="AJ8" s="221"/>
      <c r="AK8" s="222"/>
      <c r="AL8" s="224"/>
      <c r="AM8" s="225"/>
      <c r="AN8" s="226"/>
      <c r="AO8" s="227"/>
      <c r="AP8" s="229"/>
      <c r="AQ8" s="625"/>
      <c r="AR8" s="625"/>
      <c r="AS8" s="625"/>
      <c r="AT8" s="625"/>
      <c r="AU8" s="625"/>
      <c r="AV8" s="625"/>
      <c r="AW8" s="304"/>
      <c r="AX8" s="515"/>
      <c r="BU8" s="497"/>
    </row>
    <row r="9" spans="1:73" s="532" customFormat="1" ht="25.5">
      <c r="A9" s="653" t="s">
        <v>659</v>
      </c>
      <c r="B9" s="653" t="s">
        <v>273</v>
      </c>
      <c r="C9" s="671" t="str">
        <f>Datos!A9</f>
        <v xml:space="preserve">Jdos. 1ª Instancia   </v>
      </c>
      <c r="D9" s="544"/>
      <c r="E9" s="1337">
        <f>IF(ISNUMBER(Datos!AQ9),Datos!AQ9," - ")</f>
        <v>0</v>
      </c>
      <c r="F9" s="507" t="str">
        <f>IF(ISNUMBER(AA9+Y9-I9-K9),AA9+Y9-I9-K9," - ")</f>
        <v xml:space="preserve"> - </v>
      </c>
      <c r="G9" s="507" t="str">
        <f>IF(ISNUMBER(IF(J_V="SI",Datos!I9,Datos!I9+Datos!Y9)-IF(Monitorios="SI",Datos!CA9,0)),
                          IF(J_V="SI",Datos!I9,Datos!I9+Datos!Y9)-IF(Monitorios="SI",Datos!CA9,0),
                          " - ")</f>
        <v xml:space="preserve"> - </v>
      </c>
      <c r="H9" s="620"/>
      <c r="I9" s="507" t="str">
        <f>IF(ISNUMBER(Datos!DB9),Datos!DB9," - ")</f>
        <v xml:space="preserve"> - </v>
      </c>
      <c r="J9" s="502" t="str">
        <f>IF(ISNUMBER(Datos!DC9),Datos!DC9," - ")</f>
        <v xml:space="preserve"> - </v>
      </c>
      <c r="K9" s="517">
        <f>IF(ISNUMBER(Datos!DF16),Datos!DF16,0)</f>
        <v>0</v>
      </c>
      <c r="L9" s="517"/>
      <c r="M9" s="507"/>
      <c r="N9" s="620">
        <f>IF(ISNUMBER(Datos!P9),Datos!P9,0)</f>
        <v>0</v>
      </c>
      <c r="O9" s="620" t="str">
        <f>IF(ISNUMBER(Datos!DE9),Datos!DE9," - ")</f>
        <v xml:space="preserve"> - </v>
      </c>
      <c r="P9" s="1283"/>
      <c r="Q9" s="1283"/>
      <c r="R9" s="517" t="str">
        <f>IF(ISNUMBER(Datos!AS9),Datos!AS9," - ")</f>
        <v xml:space="preserve"> - </v>
      </c>
      <c r="S9" s="503" t="str">
        <f>IF(ISNUMBER(R9/(Datos!BM9/factor_trimestre)),R9/(Datos!BM9/factor_trimestre)," - ")</f>
        <v xml:space="preserve"> - </v>
      </c>
      <c r="T9" s="502" t="str">
        <f>IF(ISNUMBER(Datos!EO9),Datos!EO9," - ")</f>
        <v xml:space="preserve"> - </v>
      </c>
      <c r="U9" s="1139" t="e">
        <f>(T9/Datos!ER9)*factor_trimestre</f>
        <v>#VALUE!</v>
      </c>
      <c r="V9" s="517" t="str">
        <f>IF(ISNUMBER(Datos!CB9),Datos!CB9," - ")</f>
        <v xml:space="preserve"> - </v>
      </c>
      <c r="W9" s="507">
        <f>IF(ISNUMBER(Datos!BY9+Datos!BZ9*0.86),Datos!BY9+Datos!BZ9*0.86," - ")</f>
        <v>0</v>
      </c>
      <c r="X9" s="667">
        <f>IF(ISNUMBER((W9*factor_trimestre)/DatosB!CN9),(W9*factor_trimestre)/DatosB!CN9,"-")</f>
        <v>0</v>
      </c>
      <c r="Y9" s="704" t="str">
        <f>IF(ISNUMBER(IF(J_V="SI",Datos!K9,Datos!K9+Datos!AA9)-IF(Monitorios="SI",Datos!CC9,0)),
                          IF(J_V="SI",Datos!K9,Datos!K9+Datos!AA9)-IF(Monitorios="SI",Datos!CC9,0),
                          " - ")</f>
        <v xml:space="preserve"> - </v>
      </c>
      <c r="Z9" s="704" t="str">
        <f>IF(ISNUMBER(Datos!Q9),Datos!Q9," - ")</f>
        <v xml:space="preserve"> - </v>
      </c>
      <c r="AA9" s="506" t="str">
        <f>IF(ISNUMBER(IF(J_V="SI",Datos!L9,Datos!L9+Datos!AB9)-IF(Monitorios="SI",Datos!CD9,0)),
                          IF(J_V="SI",Datos!L9,Datos!L9+Datos!AB9)-IF(Monitorios="SI",Datos!CD9,0),
                          " - ")</f>
        <v xml:space="preserve"> - </v>
      </c>
      <c r="AB9" s="504"/>
      <c r="AC9" s="504"/>
      <c r="AD9" s="517"/>
      <c r="AE9" s="517" t="str">
        <f>IF(ISNUMBER(Datos!R9),Datos!R9," - ")</f>
        <v xml:space="preserve"> - </v>
      </c>
      <c r="AF9" s="620" t="str">
        <f>IF(ISNUMBER(Datos!BV9),Datos!BV9," - ")</f>
        <v xml:space="preserve"> - </v>
      </c>
      <c r="AG9" s="507" t="str">
        <f>IF(ISNUMBER(Datos!DV9),Datos!DV9," - ")</f>
        <v xml:space="preserve"> - </v>
      </c>
      <c r="AH9" s="508"/>
      <c r="AI9" s="509"/>
      <c r="AJ9" s="507" t="str">
        <f>IF(ISNUMBER(Datos!M9),Datos!M9," - ")</f>
        <v xml:space="preserve"> - </v>
      </c>
      <c r="AK9" s="620" t="str">
        <f>IF(ISNUMBER(Datos!N9),Datos!N9," - ")</f>
        <v xml:space="preserve"> - </v>
      </c>
      <c r="AL9" s="620" t="str">
        <f>IF(ISNUMBER(Datos!BW9),Datos!BW9," - ")</f>
        <v xml:space="preserve"> - </v>
      </c>
      <c r="AM9" s="668" t="str">
        <f>IF(ISNUMBER(Datos!BX9),Datos!BX9," - ")</f>
        <v xml:space="preserve"> - </v>
      </c>
      <c r="AN9" s="669"/>
      <c r="AO9" s="670" t="str">
        <f>IF(ISNUMBER(((NºAsuntos!I9/NºAsuntos!G9)*11)/factor_trimestre),((NºAsuntos!I9/NºAsuntos!G9)*11)/factor_trimestre," - ")</f>
        <v xml:space="preserve"> - </v>
      </c>
      <c r="AP9" s="510" t="str">
        <f>IF(ISNUMBER(Datos!CI9/Datos!CJ9),Datos!CI9/Datos!CJ9," - ")</f>
        <v xml:space="preserve"> - </v>
      </c>
      <c r="AQ9" s="510" t="str">
        <f>IF(ISNUMBER((J9-Y9+K9)/(F9)),(J9-Y9+K9)/(F9)," - ")</f>
        <v xml:space="preserve"> - </v>
      </c>
      <c r="AR9" s="510" t="str">
        <f>IF(ISNUMBER((Datos!P9-Datos!Q9+Datos!DE9)/(Datos!R9-Datos!P9+Datos!Q9-Datos!DE9)),(Datos!P9-Datos!Q9+Datos!DE9)/(Datos!R9-Datos!P9+Datos!Q9-Datos!DE9)," - ")</f>
        <v xml:space="preserve"> - </v>
      </c>
      <c r="AS9" s="656"/>
      <c r="AT9" s="656"/>
      <c r="AU9" s="634" t="str">
        <f>IF(ISNUMBER(Datos!EV9),Datos!EV9," - ")</f>
        <v xml:space="preserve"> - </v>
      </c>
      <c r="AV9" s="634" t="str">
        <f>IF(ISNUMBER(Datos!CW9),Datos!CW9," - ")</f>
        <v xml:space="preserve"> - </v>
      </c>
      <c r="AW9" s="634">
        <f>Datos!CX9</f>
        <v>0</v>
      </c>
      <c r="AX9" s="720">
        <f>Datos!DU9</f>
        <v>0</v>
      </c>
      <c r="BU9" s="1183">
        <f>Datos!ER9/factor_trimestre</f>
        <v>327.27272727272731</v>
      </c>
    </row>
    <row r="10" spans="1:73" s="532" customFormat="1" ht="14.25">
      <c r="A10" s="653">
        <f>Datos!AO10</f>
        <v>1</v>
      </c>
      <c r="B10" s="654" t="s">
        <v>273</v>
      </c>
      <c r="C10" s="655" t="str">
        <f>Datos!A10</f>
        <v>Jdos. Violencia contra la mujer</v>
      </c>
      <c r="D10" s="549"/>
      <c r="E10" s="1337">
        <f>IF(ISNUMBER(Datos!AQ10),Datos!AQ10," - ")</f>
        <v>0</v>
      </c>
      <c r="F10" s="507">
        <f>IF(ISNUMBER(Datos!L10+Datos!K10-Datos!J10),Datos!L10+Datos!K10-Datos!J10," - ")</f>
        <v>1</v>
      </c>
      <c r="G10" s="507">
        <f>IF(ISNUMBER(Datos!I10),Datos!I10," - ")</f>
        <v>1</v>
      </c>
      <c r="H10" s="620"/>
      <c r="I10" s="507" t="str">
        <f>IF(ISNUMBER(Datos!DB10),Datos!DB10," - ")</f>
        <v xml:space="preserve"> - </v>
      </c>
      <c r="J10" s="502" t="str">
        <f>IF(ISNUMBER(Datos!DC10),Datos!DC10," - ")</f>
        <v xml:space="preserve"> - </v>
      </c>
      <c r="K10" s="517">
        <f>IF(ISNUMBER(Datos!DF18),Datos!DF18,0)</f>
        <v>0</v>
      </c>
      <c r="L10" s="517"/>
      <c r="M10" s="517"/>
      <c r="N10" s="620">
        <f>IF(ISNUMBER(Datos!P10),Datos!P10,0)</f>
        <v>0</v>
      </c>
      <c r="O10" s="620" t="str">
        <f>IF(ISNUMBER(Datos!DE10),Datos!DE10," - ")</f>
        <v xml:space="preserve"> - </v>
      </c>
      <c r="P10" s="1283"/>
      <c r="Q10" s="1283"/>
      <c r="R10" s="517" t="str">
        <f>IF(ISNUMBER(Datos!AS10),Datos!AS10," - ")</f>
        <v xml:space="preserve"> - </v>
      </c>
      <c r="S10" s="503" t="str">
        <f>IF(ISNUMBER(R10/(Datos!BM10/factor_trimestre)),R10/(Datos!BM10/factor_trimestre)," - ")</f>
        <v xml:space="preserve"> - </v>
      </c>
      <c r="T10" s="502" t="str">
        <f>IF(ISNUMBER(Datos!EO10),Datos!EO10," - ")</f>
        <v xml:space="preserve"> - </v>
      </c>
      <c r="U10" s="1139" t="e">
        <f>(T10/Datos!ER10)*factor_trimestre</f>
        <v>#VALUE!</v>
      </c>
      <c r="V10" s="517"/>
      <c r="W10" s="507" t="str">
        <f>IF(ISNUMBER(Datos!BY10),Datos!BY10," - ")</f>
        <v xml:space="preserve"> - </v>
      </c>
      <c r="X10" s="667" t="str">
        <f>IF(ISNUMBER((W10*factor_trimestre)/DatosB!CN10),(W10*factor_trimestre)/DatosB!CN10,"-")</f>
        <v>-</v>
      </c>
      <c r="Y10" s="704">
        <f>IF(ISNUMBER(Datos!K10),Datos!K10," - ")</f>
        <v>1</v>
      </c>
      <c r="Z10" s="704">
        <f>IF(ISNUMBER(Datos!Q10),Datos!Q10," - ")</f>
        <v>0</v>
      </c>
      <c r="AA10" s="506">
        <f>IF(ISNUMBER(Datos!L10),Datos!L10,"-")</f>
        <v>2</v>
      </c>
      <c r="AB10" s="504"/>
      <c r="AC10" s="504"/>
      <c r="AD10" s="517"/>
      <c r="AE10" s="517">
        <f>IF(ISNUMBER(Datos!R10),Datos!R10," - ")</f>
        <v>7</v>
      </c>
      <c r="AF10" s="620" t="str">
        <f>IF(ISNUMBER(Datos!BV10),Datos!BV10," - ")</f>
        <v xml:space="preserve"> - </v>
      </c>
      <c r="AG10" s="507" t="str">
        <f>IF(ISNUMBER(Datos!DV10),Datos!DV10," - ")</f>
        <v xml:space="preserve"> - </v>
      </c>
      <c r="AH10" s="508"/>
      <c r="AI10" s="509"/>
      <c r="AJ10" s="507">
        <f>IF(ISNUMBER(Datos!M10),Datos!M10," - ")</f>
        <v>1</v>
      </c>
      <c r="AK10" s="620">
        <f>IF(ISNUMBER(Datos!N10),Datos!N10," - ")</f>
        <v>0</v>
      </c>
      <c r="AL10" s="620" t="str">
        <f>IF(ISNUMBER(Datos!BW10),Datos!BW10," - ")</f>
        <v xml:space="preserve"> - </v>
      </c>
      <c r="AM10" s="668" t="str">
        <f>IF(ISNUMBER(Datos!BX10),Datos!BX10," - ")</f>
        <v xml:space="preserve"> - </v>
      </c>
      <c r="AN10" s="669"/>
      <c r="AO10" s="670">
        <f>IF(ISNUMBER(((NºAsuntos!I10/NºAsuntos!G10)*11)/factor_trimestre),((NºAsuntos!I10/NºAsuntos!G10)*11)/factor_trimestre," - ")</f>
        <v>6</v>
      </c>
      <c r="AP10" s="510" t="str">
        <f>IF(ISNUMBER(Datos!CI10/Datos!CJ10),Datos!CI10/Datos!CJ10," - ")</f>
        <v xml:space="preserve"> - </v>
      </c>
      <c r="AQ10" s="510" t="str">
        <f>IF(ISNUMBER((I10-Y10+K10)/(F10)),(I10-Y10+K10)/(F10)," - ")</f>
        <v xml:space="preserve"> - </v>
      </c>
      <c r="AR10" s="510">
        <f>IF(ISNUMBER((Datos!P10-Datos!Q10+Datos!DE10)/(Datos!R10-Datos!P10+Datos!Q10-Datos!DE10)),(Datos!P10-Datos!Q10+Datos!DE10)/(Datos!R10-Datos!P10+Datos!Q10-Datos!DE10)," - ")</f>
        <v>0</v>
      </c>
      <c r="AS10" s="656"/>
      <c r="AT10" s="656"/>
      <c r="AU10" s="634" t="str">
        <f>IF(ISNUMBER(Datos!EV10),Datos!EV10," - ")</f>
        <v xml:space="preserve"> - </v>
      </c>
      <c r="AV10" s="634" t="str">
        <f>IF(ISNUMBER(Datos!CW10),Datos!CW10," - ")</f>
        <v xml:space="preserve"> - </v>
      </c>
      <c r="AW10" s="634">
        <f>Datos!CX10</f>
        <v>0</v>
      </c>
      <c r="AX10" s="720">
        <f>Datos!DU10</f>
        <v>0</v>
      </c>
      <c r="BU10" s="1183">
        <f>Datos!ER10/factor_trimestre</f>
        <v>436.36363636363637</v>
      </c>
    </row>
    <row r="11" spans="1:73" s="532" customFormat="1" ht="14.25">
      <c r="A11" s="653">
        <f>Datos!AO11</f>
        <v>0</v>
      </c>
      <c r="B11" s="654" t="s">
        <v>273</v>
      </c>
      <c r="C11" s="655" t="str">
        <f>Datos!A11</f>
        <v xml:space="preserve">Jdos. Familia                                   </v>
      </c>
      <c r="D11" s="549"/>
      <c r="E11" s="1337">
        <f>IF(ISNUMBER(Datos!AQ11),Datos!AQ11," - ")</f>
        <v>0</v>
      </c>
      <c r="F11" s="507" t="str">
        <f>IF(ISNUMBER(AA11+Y11-I11-K11),AA11+Y11-I11-K11," - ")</f>
        <v xml:space="preserve"> - </v>
      </c>
      <c r="G11" s="507" t="str">
        <f>IF(ISNUMBER(IF(J_V="SI",Datos!I11,Datos!I11+Datos!Y11)-IF(Monitorios="SI",Datos!CA11,0)),
                          IF(J_V="SI",Datos!I11,Datos!I11+Datos!Y11)-IF(Monitorios="SI",Datos!CA11,0),
                          " - ")</f>
        <v xml:space="preserve"> - </v>
      </c>
      <c r="H11" s="620"/>
      <c r="I11" s="507" t="str">
        <f>IF(ISNUMBER(Datos!DC11),Datos!DC11," - ")</f>
        <v xml:space="preserve"> - </v>
      </c>
      <c r="J11" s="502" t="str">
        <f>IF(ISNUMBER(Datos!DB11),Datos!DB11," - ")</f>
        <v xml:space="preserve"> - </v>
      </c>
      <c r="K11" s="517">
        <f>IF(ISNUMBER(Datos!#REF!),Datos!#REF!,0)</f>
        <v>0</v>
      </c>
      <c r="L11" s="517"/>
      <c r="M11" s="517"/>
      <c r="N11" s="620">
        <f>IF(ISNUMBER(Datos!P11),Datos!P11,0)</f>
        <v>0</v>
      </c>
      <c r="O11" s="620" t="str">
        <f>IF(ISNUMBER(Datos!DE11),Datos!DE11," - ")</f>
        <v xml:space="preserve"> - </v>
      </c>
      <c r="P11" s="1283"/>
      <c r="Q11" s="1283"/>
      <c r="R11" s="517" t="str">
        <f>IF(ISNUMBER(Datos!AS11),Datos!AS11," - ")</f>
        <v xml:space="preserve"> - </v>
      </c>
      <c r="S11" s="503" t="str">
        <f>IF(ISNUMBER(R11/(Datos!BM11/factor_trimestre)),R11/(Datos!BM11/factor_trimestre)," - ")</f>
        <v xml:space="preserve"> - </v>
      </c>
      <c r="T11" s="502" t="str">
        <f>IF(ISNUMBER(Datos!EO11),Datos!EO11," - ")</f>
        <v xml:space="preserve"> - </v>
      </c>
      <c r="U11" s="1139" t="e">
        <f>(T11/Datos!ER11)*factor_trimestre</f>
        <v>#VALUE!</v>
      </c>
      <c r="V11" s="517"/>
      <c r="W11" s="507">
        <f>IF(ISNUMBER(Datos!BY11+Datos!BZ11),Datos!BY11+Datos!BZ11," - ")</f>
        <v>0</v>
      </c>
      <c r="X11" s="667">
        <f>IF(ISNUMBER((W11*factor_trimestre)/DatosB!CN11),(W11*factor_trimestre)/DatosB!CN11,"-")</f>
        <v>0</v>
      </c>
      <c r="Y11" s="704" t="str">
        <f>IF(ISNUMBER(IF(J_V="SI",Datos!K11,Datos!K11+Datos!AA11)-IF(Monitorios="SI",Datos!CC11,0)),
                          IF(J_V="SI",Datos!K11,Datos!K11+Datos!AA11)-IF(Monitorios="SI",Datos!CC11,0),
                          " - ")</f>
        <v xml:space="preserve"> - </v>
      </c>
      <c r="Z11" s="704" t="str">
        <f>IF(ISNUMBER(Datos!Q11),Datos!Q11," - ")</f>
        <v xml:space="preserve"> - </v>
      </c>
      <c r="AA11" s="506" t="str">
        <f>IF(ISNUMBER(IF(J_V="SI",Datos!L11,Datos!L11+Datos!AB11)-IF(Monitorios="SI",Datos!CD11,0)),
                          IF(J_V="SI",Datos!L11,Datos!L11+Datos!AB11)-IF(Monitorios="SI",Datos!CD11,0),
                          " - ")</f>
        <v xml:space="preserve"> - </v>
      </c>
      <c r="AB11" s="504"/>
      <c r="AC11" s="504"/>
      <c r="AD11" s="517"/>
      <c r="AE11" s="517" t="str">
        <f>IF(ISNUMBER(Datos!R11),Datos!R11," - ")</f>
        <v xml:space="preserve"> - </v>
      </c>
      <c r="AF11" s="620" t="str">
        <f>IF(ISNUMBER(Datos!BV11),Datos!BV11," - ")</f>
        <v xml:space="preserve"> - </v>
      </c>
      <c r="AG11" s="507" t="str">
        <f>IF(ISNUMBER(Datos!DV11),Datos!DV11," - ")</f>
        <v xml:space="preserve"> - </v>
      </c>
      <c r="AH11" s="508"/>
      <c r="AI11" s="509"/>
      <c r="AJ11" s="507" t="str">
        <f>IF(ISNUMBER(Datos!M11),Datos!M11," - ")</f>
        <v xml:space="preserve"> - </v>
      </c>
      <c r="AK11" s="620" t="str">
        <f>IF(ISNUMBER(Datos!N11),Datos!N11," - ")</f>
        <v xml:space="preserve"> - </v>
      </c>
      <c r="AL11" s="620" t="str">
        <f>IF(ISNUMBER(Datos!BW11),Datos!BW11," - ")</f>
        <v xml:space="preserve"> - </v>
      </c>
      <c r="AM11" s="668" t="str">
        <f>IF(ISNUMBER(Datos!BX11),Datos!BX11," - ")</f>
        <v xml:space="preserve"> - </v>
      </c>
      <c r="AN11" s="669"/>
      <c r="AO11" s="670" t="str">
        <f>IF(ISNUMBER(((NºAsuntos!I11/NºAsuntos!G11)*11)/factor_trimestre),((NºAsuntos!I11/NºAsuntos!G11)*11)/factor_trimestre," - ")</f>
        <v xml:space="preserve"> - </v>
      </c>
      <c r="AP11" s="510" t="str">
        <f>IF(ISNUMBER(Datos!CI11/Datos!CJ11),Datos!CI11/Datos!CJ11," - ")</f>
        <v xml:space="preserve"> - </v>
      </c>
      <c r="AQ11" s="510" t="str">
        <f>IF(ISNUMBER((J11-Y11+K11)/(F11)),(J11-Y11+K11)/(F11)," - ")</f>
        <v xml:space="preserve"> - </v>
      </c>
      <c r="AR11" s="510" t="str">
        <f>IF(ISNUMBER((Datos!P11-Datos!Q11+Datos!DE11)/(Datos!R11-Datos!P11+Datos!Q11-Datos!DE11)),(Datos!P11-Datos!Q11+Datos!DE11)/(Datos!R11-Datos!P11+Datos!Q11-Datos!DE11)," - ")</f>
        <v xml:space="preserve"> - </v>
      </c>
      <c r="AS11" s="656"/>
      <c r="AT11" s="656"/>
      <c r="AU11" s="634" t="str">
        <f>IF(ISNUMBER(Datos!EV11),Datos!EV11," - ")</f>
        <v xml:space="preserve"> - </v>
      </c>
      <c r="AV11" s="634" t="str">
        <f>IF(ISNUMBER(Datos!CW11),Datos!CW11," - ")</f>
        <v xml:space="preserve"> - </v>
      </c>
      <c r="AW11" s="634">
        <f>Datos!CX11</f>
        <v>0</v>
      </c>
      <c r="AX11" s="720">
        <f>Datos!DU11</f>
        <v>0</v>
      </c>
      <c r="BU11" s="1183">
        <f>Datos!ER11/factor_trimestre</f>
        <v>360.81818181818181</v>
      </c>
    </row>
    <row r="12" spans="1:73" s="532" customFormat="1" ht="14.25">
      <c r="A12" s="653">
        <f>Datos!AO12</f>
        <v>2</v>
      </c>
      <c r="B12" s="654" t="s">
        <v>273</v>
      </c>
      <c r="C12" s="655" t="str">
        <f>Datos!A12</f>
        <v xml:space="preserve">Jdos. 1ª Instª. e Instr.                        </v>
      </c>
      <c r="D12" s="549"/>
      <c r="E12" s="1337">
        <f>IF(ISNUMBER(Datos!AQ12),Datos!AQ12," - ")</f>
        <v>2</v>
      </c>
      <c r="F12" s="507" t="str">
        <f>IF(ISNUMBER(AA12+Y12-I12-K12),AA12+Y12-I12-K12," - ")</f>
        <v xml:space="preserve"> - </v>
      </c>
      <c r="G12" s="507" t="str">
        <f>IF(ISNUMBER(IF(J_V="SI",Datos!I12,Datos!I12+Datos!Y12)-IF(Monitorios="SI",Datos!CA12,0)),
                          IF(J_V="SI",Datos!I12,Datos!I12+Datos!Y12)-IF(Monitorios="SI",Datos!CA12,0),
                          " - ")</f>
        <v xml:space="preserve"> - </v>
      </c>
      <c r="H12" s="620"/>
      <c r="I12" s="507" t="str">
        <f>IF(ISNUMBER(Datos!DC12),Datos!DC12," - ")</f>
        <v xml:space="preserve"> - </v>
      </c>
      <c r="J12" s="502" t="str">
        <f>IF(ISNUMBER(Datos!DB12),Datos!DB12," - ")</f>
        <v xml:space="preserve"> - </v>
      </c>
      <c r="K12" s="517">
        <f>IF(ISNUMBER(Datos!#REF!),Datos!#REF!,0)</f>
        <v>0</v>
      </c>
      <c r="L12" s="517"/>
      <c r="M12" s="517"/>
      <c r="N12" s="620">
        <f>IF(ISNUMBER(Datos!P12),Datos!P12,0)</f>
        <v>77</v>
      </c>
      <c r="O12" s="620" t="str">
        <f>IF(ISNUMBER(Datos!DE12),Datos!DE12," - ")</f>
        <v xml:space="preserve"> - </v>
      </c>
      <c r="P12" s="1283"/>
      <c r="Q12" s="1283"/>
      <c r="R12" s="517" t="str">
        <f>IF(ISNUMBER(Datos!AS12*(2500/380)+DatosP!AS12),Datos!AS12*(2500/380)+DatosP!AS12," - ")</f>
        <v xml:space="preserve"> - </v>
      </c>
      <c r="S12" s="503" t="str">
        <f>IF(ISNUMBER(R12/(Datos!BM12/factor_trimestre)),R12/(Datos!BM12/factor_trimestre)," - ")</f>
        <v xml:space="preserve"> - </v>
      </c>
      <c r="T12" s="502" t="str">
        <f>IF(ISNUMBER(Datos!EO12),Datos!EO12," - ")</f>
        <v xml:space="preserve"> - </v>
      </c>
      <c r="U12" s="1139" t="e">
        <f>(T12/Datos!ER12)*factor_trimestre</f>
        <v>#VALUE!</v>
      </c>
      <c r="V12" s="517" t="str">
        <f>IF(ISNUMBER(Datos!CB12),Datos!CB12," - ")</f>
        <v xml:space="preserve"> - </v>
      </c>
      <c r="W12" s="507" t="str">
        <f>IF(ISNUMBER(Datos!BY12),Datos!BY12," - ")</f>
        <v xml:space="preserve"> - </v>
      </c>
      <c r="X12" s="667" t="str">
        <f>IF(ISNUMBER((W12*factor_trimestre)/DatosB!CN12),(W12*factor_trimestre)/DatosB!CN12,"-")</f>
        <v>-</v>
      </c>
      <c r="Y12" s="704" t="str">
        <f>IF(ISNUMBER(IF(J_V="SI",Datos!K12,Datos!K12+Datos!AA12)-IF(Monitorios="SI",Datos!CC12,0)),
                          IF(J_V="SI",Datos!K12,Datos!K12+Datos!AA12)-IF(Monitorios="SI",Datos!CC12,0),
                          " - ")</f>
        <v xml:space="preserve"> - </v>
      </c>
      <c r="Z12" s="704">
        <f>IF(ISNUMBER(Datos!Q12),Datos!Q12," - ")</f>
        <v>33</v>
      </c>
      <c r="AA12" s="506" t="str">
        <f>IF(ISNUMBER(IF(J_V="SI",Datos!L12,Datos!L12+Datos!AB12)-IF(Monitorios="SI",Datos!CD12,0)),
                          IF(J_V="SI",Datos!L12,Datos!L12+Datos!AB12)-IF(Monitorios="SI",Datos!CD12,0),
                          " - ")</f>
        <v xml:space="preserve"> - </v>
      </c>
      <c r="AB12" s="504"/>
      <c r="AC12" s="504"/>
      <c r="AD12" s="517"/>
      <c r="AE12" s="517">
        <f>IF(ISNUMBER(Datos!R12),Datos!R12," - ")</f>
        <v>1356</v>
      </c>
      <c r="AF12" s="620" t="str">
        <f>IF(ISNUMBER(Datos!BV12),Datos!BV12," - ")</f>
        <v xml:space="preserve"> - </v>
      </c>
      <c r="AG12" s="507" t="str">
        <f>IF(ISNUMBER(Datos!DV12),Datos!DV12," - ")</f>
        <v xml:space="preserve"> - </v>
      </c>
      <c r="AH12" s="508"/>
      <c r="AI12" s="509"/>
      <c r="AJ12" s="507">
        <f>IF(ISNUMBER(Datos!M12),Datos!M12," - ")</f>
        <v>83</v>
      </c>
      <c r="AK12" s="620">
        <f>IF(ISNUMBER(Datos!N12),Datos!N12," - ")</f>
        <v>114</v>
      </c>
      <c r="AL12" s="620" t="str">
        <f>IF(ISNUMBER(Datos!BW12),Datos!BW12," - ")</f>
        <v xml:space="preserve"> - </v>
      </c>
      <c r="AM12" s="668" t="str">
        <f>IF(ISNUMBER(Datos!BX12),Datos!BX12," - ")</f>
        <v xml:space="preserve"> - </v>
      </c>
      <c r="AN12" s="669"/>
      <c r="AO12" s="670">
        <f>IF(ISNUMBER(((NºAsuntos!I12/NºAsuntos!G12)*11)/factor_trimestre),((NºAsuntos!I12/NºAsuntos!G12)*11)/factor_trimestre," - ")</f>
        <v>10.280254777070065</v>
      </c>
      <c r="AP12" s="510" t="str">
        <f>IF(ISNUMBER(Datos!CI12/Datos!CJ12),Datos!CI12/Datos!CJ12," - ")</f>
        <v xml:space="preserve"> - </v>
      </c>
      <c r="AQ12" s="510" t="str">
        <f>IF(ISNUMBER((J12-Y12+K12)/(F12)),(J12-Y12+K12)/(F12)," - ")</f>
        <v xml:space="preserve"> - </v>
      </c>
      <c r="AR12" s="510">
        <f>IF(ISNUMBER((Datos!P12-Datos!Q12+Datos!DE12)/(Datos!R12-Datos!P12+Datos!Q12-Datos!DE12)),(Datos!P12-Datos!Q12+Datos!DE12)/(Datos!R12-Datos!P12+Datos!Q12-Datos!DE12)," - ")</f>
        <v>3.3536585365853661E-2</v>
      </c>
      <c r="AS12" s="656"/>
      <c r="AT12" s="656"/>
      <c r="AU12" s="634" t="str">
        <f>IF(ISNUMBER(Datos!EV12),Datos!EV12," - ")</f>
        <v xml:space="preserve"> - </v>
      </c>
      <c r="AV12" s="634" t="str">
        <f>IF(ISNUMBER(Datos!CW12),Datos!CW12," - ")</f>
        <v xml:space="preserve"> - </v>
      </c>
      <c r="AW12" s="634">
        <f>Datos!CX12</f>
        <v>0</v>
      </c>
      <c r="AX12" s="720">
        <f>Datos!DU12</f>
        <v>0</v>
      </c>
      <c r="BU12" s="1183">
        <f>Datos!ER12/factor_trimestre</f>
        <v>185.45454545454547</v>
      </c>
    </row>
    <row r="13" spans="1:73" s="532" customFormat="1" ht="15" thickBot="1">
      <c r="A13" s="653">
        <f>Datos!AO13</f>
        <v>0</v>
      </c>
      <c r="B13" s="654" t="s">
        <v>273</v>
      </c>
      <c r="C13" s="655" t="str">
        <f>Datos!A13</f>
        <v xml:space="preserve">Jdos. de Menores    </v>
      </c>
      <c r="D13" s="549"/>
      <c r="E13" s="1337">
        <f>IF(ISNUMBER(Datos!AQ13),Datos!AQ13," - ")</f>
        <v>0</v>
      </c>
      <c r="F13" s="507" t="str">
        <f>IF(ISNUMBER(Datos!L13+Datos!K13-Datos!J13),Datos!L13+Datos!K13-Datos!J13," - ")</f>
        <v xml:space="preserve"> - </v>
      </c>
      <c r="G13" s="507" t="str">
        <f>IF(ISNUMBER(Datos!I13),Datos!I13," - ")</f>
        <v xml:space="preserve"> - </v>
      </c>
      <c r="H13" s="620"/>
      <c r="I13" s="507" t="str">
        <f>IF(ISNUMBER(Datos!DB13),Datos!DB13," - ")</f>
        <v xml:space="preserve"> - </v>
      </c>
      <c r="J13" s="502" t="str">
        <f>IF(ISNUMBER(Datos!DC13),Datos!DC13," - ")</f>
        <v xml:space="preserve"> - </v>
      </c>
      <c r="K13" s="517">
        <f>IF(ISNUMBER(Datos!#REF!),Datos!#REF!,0)</f>
        <v>0</v>
      </c>
      <c r="L13" s="517"/>
      <c r="M13" s="517"/>
      <c r="N13" s="620">
        <f>IF(ISNUMBER(Datos!P13),Datos!P13,0)</f>
        <v>0</v>
      </c>
      <c r="O13" s="620" t="str">
        <f>IF(ISNUMBER(Datos!DE13),Datos!DE13," - ")</f>
        <v xml:space="preserve"> - </v>
      </c>
      <c r="P13" s="1283"/>
      <c r="Q13" s="1283"/>
      <c r="R13" s="517" t="str">
        <f>IF(ISNUMBER(Datos!AS13),Datos!AS13," - ")</f>
        <v xml:space="preserve"> - </v>
      </c>
      <c r="S13" s="503" t="str">
        <f>IF(ISNUMBER(R13/(Datos!BM13/factor_trimestre)),R13/(Datos!BM13/factor_trimestre)," - ")</f>
        <v xml:space="preserve"> - </v>
      </c>
      <c r="T13" s="502" t="str">
        <f>IF(ISNUMBER(Datos!EO13),Datos!EO13," - ")</f>
        <v xml:space="preserve"> - </v>
      </c>
      <c r="U13" s="1139" t="e">
        <f>(T13/Datos!ER13)*factor_trimestre</f>
        <v>#VALUE!</v>
      </c>
      <c r="V13" s="517"/>
      <c r="W13" s="507" t="str">
        <f>IF(ISNUMBER(Datos!BY13),Datos!BY13," - ")</f>
        <v xml:space="preserve"> - </v>
      </c>
      <c r="X13" s="667" t="str">
        <f>IF(ISNUMBER((W13*factor_trimestre)/DatosB!CN13),(W13*factor_trimestre)/DatosB!CN13,"-")</f>
        <v>-</v>
      </c>
      <c r="Y13" s="704" t="str">
        <f>IF(ISNUMBER(Datos!K13),Datos!K13," - ")</f>
        <v xml:space="preserve"> - </v>
      </c>
      <c r="Z13" s="704" t="str">
        <f>IF(ISNUMBER(Datos!Q13),Datos!Q13," - ")</f>
        <v xml:space="preserve"> - </v>
      </c>
      <c r="AA13" s="506" t="str">
        <f>IF(ISNUMBER(Datos!L13),Datos!L13,"-")</f>
        <v>-</v>
      </c>
      <c r="AB13" s="504"/>
      <c r="AC13" s="504"/>
      <c r="AD13" s="517"/>
      <c r="AE13" s="517" t="str">
        <f>IF(ISNUMBER(Datos!R13),Datos!R13," - ")</f>
        <v xml:space="preserve"> - </v>
      </c>
      <c r="AF13" s="620" t="str">
        <f>IF(ISNUMBER(Datos!BV13),Datos!BV13," - ")</f>
        <v xml:space="preserve"> - </v>
      </c>
      <c r="AG13" s="507" t="str">
        <f>IF(ISNUMBER(Datos!DV13),Datos!DV13," - ")</f>
        <v xml:space="preserve"> - </v>
      </c>
      <c r="AH13" s="508"/>
      <c r="AI13" s="509"/>
      <c r="AJ13" s="507" t="str">
        <f>IF(ISNUMBER(Datos!M13),Datos!M13," - ")</f>
        <v xml:space="preserve"> - </v>
      </c>
      <c r="AK13" s="620" t="str">
        <f>IF(ISNUMBER(Datos!N13),Datos!N13," - ")</f>
        <v xml:space="preserve"> - </v>
      </c>
      <c r="AL13" s="620" t="str">
        <f>IF(ISNUMBER(Datos!BW13),Datos!BW13," - ")</f>
        <v xml:space="preserve"> - </v>
      </c>
      <c r="AM13" s="668" t="str">
        <f>IF(ISNUMBER(Datos!BX13),Datos!BX13," - ")</f>
        <v xml:space="preserve"> - </v>
      </c>
      <c r="AN13" s="669"/>
      <c r="AO13" s="670" t="str">
        <f>IF(ISNUMBER(((NºAsuntos!I13/NºAsuntos!G13)*11)/factor_trimestre),((NºAsuntos!I13/NºAsuntos!G13)*11)/factor_trimestre," - ")</f>
        <v xml:space="preserve"> - </v>
      </c>
      <c r="AP13" s="510" t="str">
        <f>IF(ISNUMBER(Datos!CI13/Datos!CJ13),Datos!CI13/Datos!CJ13," - ")</f>
        <v xml:space="preserve"> - </v>
      </c>
      <c r="AQ13" s="510" t="str">
        <f t="shared" ref="AQ13" si="0">IF(ISNUMBER((I13-Y13+K13)/(F13)),(I13-Y13+K13)/(F13)," - ")</f>
        <v xml:space="preserve"> - </v>
      </c>
      <c r="AR13" s="510" t="str">
        <f>IF(ISNUMBER((Datos!P13-Datos!Q13+Datos!DE13)/(Datos!R13-Datos!P13+Datos!Q13-Datos!DE13)),(Datos!P13-Datos!Q13+Datos!DE13)/(Datos!R13-Datos!P13+Datos!Q13-Datos!DE13)," - ")</f>
        <v xml:space="preserve"> - </v>
      </c>
      <c r="AS13" s="656"/>
      <c r="AT13" s="656"/>
      <c r="AU13" s="634" t="str">
        <f>IF(ISNUMBER(Datos!EV13),Datos!EV13," - ")</f>
        <v xml:space="preserve"> - </v>
      </c>
      <c r="AV13" s="634" t="str">
        <f>IF(ISNUMBER(Datos!CW13),Datos!CW13," - ")</f>
        <v xml:space="preserve"> - </v>
      </c>
      <c r="AW13" s="634">
        <f>Datos!CX13</f>
        <v>0</v>
      </c>
      <c r="AX13" s="720">
        <f>Datos!DU13</f>
        <v>0</v>
      </c>
      <c r="BU13" s="1183">
        <f>Datos!ER13/factor_trimestre</f>
        <v>238.63636363636365</v>
      </c>
    </row>
    <row r="14" spans="1:73" ht="15.75" thickTop="1" thickBot="1">
      <c r="A14" s="183"/>
      <c r="B14" s="183"/>
      <c r="C14" s="1010" t="str">
        <f>Datos!A14</f>
        <v>TOTAL</v>
      </c>
      <c r="D14" s="1010"/>
      <c r="E14" s="1045">
        <f>SUBTOTAL(9,E8:E13)</f>
        <v>2</v>
      </c>
      <c r="F14" s="1045">
        <f>SUBTOTAL(9,F8:F13)</f>
        <v>1</v>
      </c>
      <c r="G14" s="1045">
        <f>SUBTOTAL(9,G8:G13)</f>
        <v>1</v>
      </c>
      <c r="H14" s="1055"/>
      <c r="I14" s="1045">
        <f t="shared" ref="I14:N14" si="1">SUBTOTAL(9,I8:I13)</f>
        <v>0</v>
      </c>
      <c r="J14" s="1014">
        <f t="shared" si="1"/>
        <v>0</v>
      </c>
      <c r="K14" s="1055">
        <f t="shared" si="1"/>
        <v>0</v>
      </c>
      <c r="L14" s="1055">
        <f t="shared" si="1"/>
        <v>0</v>
      </c>
      <c r="M14" s="1055">
        <f t="shared" si="1"/>
        <v>0</v>
      </c>
      <c r="N14" s="1055">
        <f t="shared" si="1"/>
        <v>77</v>
      </c>
      <c r="O14" s="1055"/>
      <c r="P14" s="1285"/>
      <c r="Q14" s="1285"/>
      <c r="R14" s="1055">
        <f t="shared" ref="R14:W14" si="2">SUBTOTAL(9,R8:R13)</f>
        <v>0</v>
      </c>
      <c r="S14" s="1285">
        <f t="shared" si="2"/>
        <v>0</v>
      </c>
      <c r="T14" s="1014">
        <f t="shared" si="2"/>
        <v>0</v>
      </c>
      <c r="U14" s="1140" t="e">
        <f t="shared" si="2"/>
        <v>#VALUE!</v>
      </c>
      <c r="V14" s="1054">
        <f t="shared" si="2"/>
        <v>0</v>
      </c>
      <c r="W14" s="1055">
        <f t="shared" si="2"/>
        <v>0</v>
      </c>
      <c r="X14" s="1076">
        <f>IF(ISNUMBER((W14*factor_trimestre)/Datos!CN14),(W14*factor_trimestre)/Datos!CN14,"-")</f>
        <v>0</v>
      </c>
      <c r="Y14" s="1054">
        <f t="shared" ref="Y14:AN14" si="3">SUBTOTAL(9,Y8:Y13)</f>
        <v>1</v>
      </c>
      <c r="Z14" s="1054">
        <f t="shared" si="3"/>
        <v>33</v>
      </c>
      <c r="AA14" s="1047">
        <f t="shared" si="3"/>
        <v>2</v>
      </c>
      <c r="AB14" s="1047">
        <f t="shared" si="3"/>
        <v>0</v>
      </c>
      <c r="AC14" s="1047">
        <f t="shared" si="3"/>
        <v>0</v>
      </c>
      <c r="AD14" s="1047">
        <f t="shared" si="3"/>
        <v>0</v>
      </c>
      <c r="AE14" s="1047">
        <f t="shared" si="3"/>
        <v>1363</v>
      </c>
      <c r="AF14" s="1055">
        <f t="shared" si="3"/>
        <v>0</v>
      </c>
      <c r="AG14" s="1055">
        <f t="shared" si="3"/>
        <v>0</v>
      </c>
      <c r="AH14" s="1055">
        <f t="shared" si="3"/>
        <v>0</v>
      </c>
      <c r="AI14" s="1055">
        <f t="shared" si="3"/>
        <v>0</v>
      </c>
      <c r="AJ14" s="1055">
        <f t="shared" si="3"/>
        <v>84</v>
      </c>
      <c r="AK14" s="1055">
        <f t="shared" si="3"/>
        <v>114</v>
      </c>
      <c r="AL14" s="1055">
        <f t="shared" si="3"/>
        <v>0</v>
      </c>
      <c r="AM14" s="1055">
        <f t="shared" si="3"/>
        <v>0</v>
      </c>
      <c r="AN14" s="1055">
        <f t="shared" si="3"/>
        <v>0</v>
      </c>
      <c r="AO14" s="1051">
        <f>IF(ISNUMBER(((NºAsuntos!I14/NºAsuntos!G14)*11)/factor_trimestre),((NºAsuntos!I14/NºAsuntos!G14)*11)/factor_trimestre," - ")</f>
        <v>10.266666666666667</v>
      </c>
      <c r="AP14" s="1057" t="str">
        <f>IF(ISNUMBER(Datos!CI14/Datos!CJ14),Datos!CI14/Datos!CJ14," - ")</f>
        <v xml:space="preserve"> - </v>
      </c>
      <c r="AQ14" s="1075">
        <f t="shared" ref="AQ14:AV14" si="4">SUBTOTAL(9,AQ9:AQ13)</f>
        <v>0</v>
      </c>
      <c r="AR14" s="1075">
        <f t="shared" si="4"/>
        <v>3.3536585365853661E-2</v>
      </c>
      <c r="AS14" s="1055">
        <f t="shared" si="4"/>
        <v>0</v>
      </c>
      <c r="AT14" s="1055">
        <f t="shared" si="4"/>
        <v>0</v>
      </c>
      <c r="AU14" s="1055">
        <f t="shared" si="4"/>
        <v>0</v>
      </c>
      <c r="AV14" s="1055">
        <f t="shared" si="4"/>
        <v>0</v>
      </c>
      <c r="AW14" s="1077"/>
      <c r="AX14" s="1078"/>
      <c r="BU14" s="1046"/>
    </row>
    <row r="15" spans="1:73" ht="15" thickTop="1">
      <c r="A15" s="551"/>
      <c r="B15" s="551"/>
      <c r="C15" s="291" t="str">
        <f>Datos!A15</f>
        <v xml:space="preserve">Jurisdicción Penal ( 2 ):                      </v>
      </c>
      <c r="D15" s="552"/>
      <c r="E15" s="631"/>
      <c r="F15" s="239"/>
      <c r="G15" s="742"/>
      <c r="H15" s="234"/>
      <c r="I15" s="540"/>
      <c r="J15" s="222"/>
      <c r="K15" s="516"/>
      <c r="L15" s="516"/>
      <c r="M15" s="516"/>
      <c r="N15" s="234"/>
      <c r="O15" s="234"/>
      <c r="P15" s="1284"/>
      <c r="Q15" s="1284"/>
      <c r="R15" s="371"/>
      <c r="S15" s="1277"/>
      <c r="T15" s="305"/>
      <c r="U15" s="1141"/>
      <c r="V15" s="666"/>
      <c r="W15" s="230"/>
      <c r="X15" s="499"/>
      <c r="Y15" s="701"/>
      <c r="Z15" s="703"/>
      <c r="AA15" s="540"/>
      <c r="AB15" s="344"/>
      <c r="AC15" s="344"/>
      <c r="AD15" s="516"/>
      <c r="AE15" s="516"/>
      <c r="AF15" s="557"/>
      <c r="AG15" s="230"/>
      <c r="AH15" s="303"/>
      <c r="AI15" s="232"/>
      <c r="AJ15" s="230"/>
      <c r="AK15" s="234"/>
      <c r="AL15" s="234"/>
      <c r="AM15" s="233"/>
      <c r="AN15" s="248"/>
      <c r="AO15" s="265"/>
      <c r="AP15" s="235"/>
      <c r="AQ15" s="235"/>
      <c r="AR15" s="235"/>
      <c r="AS15" s="626"/>
      <c r="AT15" s="626"/>
      <c r="AU15" s="370"/>
      <c r="AV15" s="370"/>
      <c r="AW15" s="271"/>
      <c r="AX15" s="584"/>
      <c r="BU15" s="501"/>
    </row>
    <row r="16" spans="1:73" s="532" customFormat="1" ht="14.25">
      <c r="A16" s="653">
        <f>Datos!AO16</f>
        <v>0</v>
      </c>
      <c r="B16" s="654" t="s">
        <v>437</v>
      </c>
      <c r="C16" s="671" t="str">
        <f>Datos!A16</f>
        <v xml:space="preserve">Jdos. Instrucción                               </v>
      </c>
      <c r="D16" s="544"/>
      <c r="E16" s="1337">
        <f>IF(ISNUMBER(Datos!AQ16),Datos!AQ16," - ")</f>
        <v>0</v>
      </c>
      <c r="F16" s="498" t="str">
        <f>IF(ISNUMBER(AA16+Y16-Datos!J16-K16),AA16+Y16-Datos!J16-K16," - ")</f>
        <v xml:space="preserve"> - </v>
      </c>
      <c r="G16" s="507" t="str">
        <f>IF(ISNUMBER(IF(D_I="SI",Datos!I16,Datos!I16+Datos!AC16)),IF(D_I="SI",Datos!I16,Datos!I16+Datos!AC16)," - ")</f>
        <v xml:space="preserve"> - </v>
      </c>
      <c r="H16" s="620"/>
      <c r="I16" s="620" t="str">
        <f>IF(ISNUMBER(Datos!DC16),Datos!DC16," - ")</f>
        <v xml:space="preserve"> - </v>
      </c>
      <c r="J16" s="231" t="str">
        <f>IF(ISNUMBER(Datos!DC16),Datos!DC16," - ")</f>
        <v xml:space="preserve"> - </v>
      </c>
      <c r="K16" s="517">
        <f>IF(ISNUMBER(Datos!DF16),Datos!DF16,0)</f>
        <v>0</v>
      </c>
      <c r="L16" s="517" t="str">
        <f>IF(ISNUMBER(Datos!EB16),Datos!EB16," - ")</f>
        <v xml:space="preserve"> - </v>
      </c>
      <c r="M16" s="517" t="str">
        <f>IF(ISNUMBER(Datos!EC16),Datos!EC16," - ")</f>
        <v xml:space="preserve"> - </v>
      </c>
      <c r="N16" s="620">
        <f>IF(ISNUMBER(Datos!P16),Datos!P16,0)</f>
        <v>0</v>
      </c>
      <c r="O16" s="620" t="str">
        <f>IF(ISNUMBER(Datos!DE16),Datos!DE16," - ")</f>
        <v xml:space="preserve"> - </v>
      </c>
      <c r="P16" s="1283" t="str">
        <f>IF(ISNUMBER(Datos!EB16*factor_trimestre/Datos!EE16),Datos!EB16*factor_trimestre/Datos!EE16," - ")</f>
        <v xml:space="preserve"> - </v>
      </c>
      <c r="Q16" s="1283" t="str">
        <f>IF(ISNUMBER(Datos!EC16*factor_trimestre/Datos!EF16),Datos!EC16*factor_trimestre/Datos!EF16," - ")</f>
        <v xml:space="preserve"> - </v>
      </c>
      <c r="R16" s="517">
        <f>IF(ISNUMBER((Datos!AS16+Datos!AT16)),(Datos!AS16+Datos!AT16),0)</f>
        <v>0</v>
      </c>
      <c r="S16" s="503">
        <f>IF(ISNUMBER(R16/(Datos!BM16/factor_trimestre)),R16/(Datos!BM16/factor_trimestre)," - ")</f>
        <v>0</v>
      </c>
      <c r="T16" s="502" t="str">
        <f>IF(ISNUMBER(Datos!EO16),Datos!EO16," - ")</f>
        <v xml:space="preserve"> - </v>
      </c>
      <c r="U16" s="1139" t="e">
        <f>(T16/Datos!ER16)*factor_trimestre</f>
        <v>#VALUE!</v>
      </c>
      <c r="V16" s="517"/>
      <c r="W16" s="507">
        <f>IF(ISNUMBER(Datos!BY16+Datos!BZ16*1.16),Datos!BY16+Datos!BZ16*1.16," - ")</f>
        <v>0</v>
      </c>
      <c r="X16" s="667">
        <f>IF(ISNUMBER((W16*factor_trimestre)/DatosB!CN16),(W16*factor_trimestre)/DatosB!CN16,"-")</f>
        <v>0</v>
      </c>
      <c r="Y16" s="704" t="str">
        <f>IF(ISNUMBER(IF(D_I="SI",Datos!K16,Datos!K16+Datos!AE16)),IF(D_I="SI",Datos!K16,Datos!K16+Datos!AE16)," - ")</f>
        <v xml:space="preserve"> - </v>
      </c>
      <c r="Z16" s="704" t="str">
        <f>IF(ISNUMBER(Datos!Q16),Datos!Q16," - ")</f>
        <v xml:space="preserve"> - </v>
      </c>
      <c r="AA16" s="506" t="str">
        <f>IF(ISNUMBER(IF(D_I="SI",Datos!L16,Datos!L16+Datos!AF16)),IF(D_I="SI",Datos!L16,Datos!L16+Datos!AF16)," - ")</f>
        <v xml:space="preserve"> - </v>
      </c>
      <c r="AB16" s="504"/>
      <c r="AC16" s="504"/>
      <c r="AD16" s="517"/>
      <c r="AE16" s="517" t="str">
        <f>IF(ISNUMBER(Datos!R16),Datos!R16," - ")</f>
        <v xml:space="preserve"> - </v>
      </c>
      <c r="AF16" s="620" t="str">
        <f>IF(ISNUMBER(Datos!BV16),Datos!BV16," - ")</f>
        <v xml:space="preserve"> - </v>
      </c>
      <c r="AG16" s="507"/>
      <c r="AH16" s="508"/>
      <c r="AI16" s="509"/>
      <c r="AJ16" s="507" t="str">
        <f>IF(ISNUMBER(Datos!M16),Datos!M16," - ")</f>
        <v xml:space="preserve"> - </v>
      </c>
      <c r="AK16" s="620" t="str">
        <f>IF(ISNUMBER(Datos!N16),Datos!N16," - ")</f>
        <v xml:space="preserve"> - </v>
      </c>
      <c r="AL16" s="620" t="str">
        <f>IF(ISNUMBER(Datos!BW16),Datos!BW16," - ")</f>
        <v xml:space="preserve"> - </v>
      </c>
      <c r="AM16" s="668" t="str">
        <f>IF(ISNUMBER(Datos!BX16),Datos!BX16," - ")</f>
        <v xml:space="preserve"> - </v>
      </c>
      <c r="AN16" s="669"/>
      <c r="AO16" s="670" t="str">
        <f>IF(ISNUMBER(((NºAsuntos!I16/NºAsuntos!G16)*11)/factor_trimestre),((NºAsuntos!I16/NºAsuntos!G16)*11)/factor_trimestre," - ")</f>
        <v xml:space="preserve"> - </v>
      </c>
      <c r="AP16" s="510" t="str">
        <f>IF(ISNUMBER(Datos!CI16/Datos!CJ16),Datos!CI16/Datos!CJ16," - ")</f>
        <v xml:space="preserve"> - </v>
      </c>
      <c r="AQ16" s="510" t="str">
        <f>IF(ISNUMBER((J16-Y16+K16)/(F16)),(J16-Y16+K16)/(F16)," - ")</f>
        <v xml:space="preserve"> - </v>
      </c>
      <c r="AR16" s="510" t="str">
        <f>IF(ISNUMBER((Datos!P16-Datos!Q16+O16)/(Datos!R16-Datos!P16+Datos!Q16-O16)),(Datos!P16-Datos!Q16+O16)/(Datos!R16-Datos!P16+Datos!Q16-O16)," - ")</f>
        <v xml:space="preserve"> - </v>
      </c>
      <c r="AS16" s="634" t="str">
        <f>IF(ISNUMBER(Datos!CS16),Datos!CS16," - ")</f>
        <v xml:space="preserve"> - </v>
      </c>
      <c r="AT16" s="634" t="str">
        <f>IF(ISNUMBER(Datos!EI16),Datos!EI16," - ")</f>
        <v xml:space="preserve"> - </v>
      </c>
      <c r="AU16" s="634" t="str">
        <f>IF(ISNUMBER(Datos!EV16),Datos!EV16," - ")</f>
        <v xml:space="preserve"> - </v>
      </c>
      <c r="AV16" s="634" t="str">
        <f>IF(ISNUMBER(Datos!CW16),Datos!CW16," - ")</f>
        <v xml:space="preserve"> - </v>
      </c>
      <c r="AW16" s="634">
        <f>Datos!CX16</f>
        <v>0</v>
      </c>
      <c r="AX16" s="518">
        <f>Datos!DU16</f>
        <v>0</v>
      </c>
      <c r="BU16" s="1183">
        <f>Datos!ER16/factor_trimestre</f>
        <v>900</v>
      </c>
    </row>
    <row r="17" spans="1:73" s="532" customFormat="1" ht="14.25">
      <c r="A17" s="653">
        <f>Datos!AO17</f>
        <v>2</v>
      </c>
      <c r="B17" s="654" t="s">
        <v>437</v>
      </c>
      <c r="C17" s="671" t="str">
        <f>Datos!A17</f>
        <v xml:space="preserve">Jdos. 1ª Instª. e Instr.                        </v>
      </c>
      <c r="D17" s="544"/>
      <c r="E17" s="1337">
        <f>IF(ISNUMBER(Datos!AQ17),Datos!AQ17," - ")</f>
        <v>2</v>
      </c>
      <c r="F17" s="498">
        <f>IF(ISNUMBER(AA17+Y17-Datos!J17-K16),AA17+Y17-Datos!J17-K16," - ")</f>
        <v>234</v>
      </c>
      <c r="G17" s="507">
        <f>IF(ISNUMBER(IF(D_I="SI",Datos!I17,Datos!I17+Datos!AC17)),IF(D_I="SI",Datos!I17,Datos!I17+Datos!AC17)," - ")</f>
        <v>224</v>
      </c>
      <c r="H17" s="620"/>
      <c r="I17" s="620" t="str">
        <f>IF(ISNUMBER(Datos!DC17),Datos!DC17," - ")</f>
        <v xml:space="preserve"> - </v>
      </c>
      <c r="J17" s="231" t="str">
        <f>IF(ISNUMBER(Datos!DC17),Datos!DC17," - ")</f>
        <v xml:space="preserve"> - </v>
      </c>
      <c r="K17" s="517">
        <f>IF(ISNUMBER(Datos!DF17),Datos!DF17,0)</f>
        <v>0</v>
      </c>
      <c r="L17" s="517"/>
      <c r="M17" s="517"/>
      <c r="N17" s="620">
        <f>IF(ISNUMBER(Datos!P17),Datos!P17,0)</f>
        <v>9</v>
      </c>
      <c r="O17" s="620" t="str">
        <f>IF(ISNUMBER(Datos!DE17),Datos!DE17," - ")</f>
        <v xml:space="preserve"> - </v>
      </c>
      <c r="P17" s="1283"/>
      <c r="Q17" s="1283"/>
      <c r="R17" s="517" t="str">
        <f>IF(ISNUMBER(Datos!AS17*(2500/380)+DatosP!AS17),Datos!AS17*(2500/380)+DatosP!AS17," - ")</f>
        <v xml:space="preserve"> - </v>
      </c>
      <c r="S17" s="503" t="str">
        <f>IF(ISNUMBER(R17/(Datos!BM17/factor_trimestre)),R17/(Datos!BM17/factor_trimestre)," - ")</f>
        <v xml:space="preserve"> - </v>
      </c>
      <c r="T17" s="502" t="str">
        <f>IF(ISNUMBER(Datos!EO17),Datos!EO17," - ")</f>
        <v xml:space="preserve"> - </v>
      </c>
      <c r="U17" s="1139" t="e">
        <f>(T17/Datos!ER17)*factor_trimestre</f>
        <v>#VALUE!</v>
      </c>
      <c r="V17" s="517"/>
      <c r="W17" s="507" t="str">
        <f>IF(ISNUMBER(Datos!BY17),Datos!BY17," - ")</f>
        <v xml:space="preserve"> - </v>
      </c>
      <c r="X17" s="667" t="str">
        <f>IF(ISNUMBER((W17*factor_trimestre)/DatosB!CN17),(W17*factor_trimestre)/DatosB!CN17,"-")</f>
        <v>-</v>
      </c>
      <c r="Y17" s="704">
        <f>IF(ISNUMBER(IF(D_I="SI",Datos!K17,Datos!K17+Datos!AE17)),IF(D_I="SI",Datos!K17,Datos!K17+Datos!AE17)," - ")</f>
        <v>606</v>
      </c>
      <c r="Z17" s="704">
        <f>IF(ISNUMBER(Datos!Q17),Datos!Q17," - ")</f>
        <v>32</v>
      </c>
      <c r="AA17" s="506">
        <f>IF(ISNUMBER(IF(D_I="SI",Datos!L17,Datos!L17+Datos!AF17)),IF(D_I="SI",Datos!L17,Datos!L17+Datos!AF17)," - ")</f>
        <v>250</v>
      </c>
      <c r="AB17" s="504"/>
      <c r="AC17" s="504"/>
      <c r="AD17" s="517"/>
      <c r="AE17" s="517">
        <f>IF(ISNUMBER(Datos!R17),Datos!R17," - ")</f>
        <v>30</v>
      </c>
      <c r="AF17" s="620" t="str">
        <f>IF(ISNUMBER(Datos!BV17),Datos!BV17," - ")</f>
        <v xml:space="preserve"> - </v>
      </c>
      <c r="AG17" s="507"/>
      <c r="AH17" s="508"/>
      <c r="AI17" s="509"/>
      <c r="AJ17" s="507">
        <f>IF(ISNUMBER(Datos!M17),Datos!M17," - ")</f>
        <v>86</v>
      </c>
      <c r="AK17" s="620">
        <f>IF(ISNUMBER(Datos!N17),Datos!N17," - ")</f>
        <v>431</v>
      </c>
      <c r="AL17" s="620" t="str">
        <f>IF(ISNUMBER(Datos!BW17),Datos!BW17," - ")</f>
        <v xml:space="preserve"> - </v>
      </c>
      <c r="AM17" s="668" t="str">
        <f>IF(ISNUMBER(Datos!BX17),Datos!BX17," - ")</f>
        <v xml:space="preserve"> - </v>
      </c>
      <c r="AN17" s="669"/>
      <c r="AO17" s="670">
        <f>IF(ISNUMBER(((NºAsuntos!I17/NºAsuntos!G17)*11)/factor_trimestre),((NºAsuntos!I17/NºAsuntos!G17)*11)/factor_trimestre," - ")</f>
        <v>1.2376237623762376</v>
      </c>
      <c r="AP17" s="510" t="str">
        <f>IF(ISNUMBER(Datos!CI17/Datos!CJ17),Datos!CI17/Datos!CJ17," - ")</f>
        <v xml:space="preserve"> - </v>
      </c>
      <c r="AQ17" s="510" t="str">
        <f>IF(ISNUMBER((J17-Y17+K17)/(F17)),(J17-Y17+K17)/(F17)," - ")</f>
        <v xml:space="preserve"> - </v>
      </c>
      <c r="AR17" s="510" t="str">
        <f>IF(ISNUMBER((Datos!P17-Datos!Q17+O17)/(Datos!R17-Datos!P17+Datos!Q17-O17)),(Datos!P17-Datos!Q17+O17)/(Datos!R17-Datos!P17+Datos!Q17-O17)," - ")</f>
        <v xml:space="preserve"> - </v>
      </c>
      <c r="AS17" s="634" t="str">
        <f>IF(ISNUMBER(Datos!CS17),Datos!CS17," - ")</f>
        <v xml:space="preserve"> - </v>
      </c>
      <c r="AT17" s="634" t="str">
        <f>IF(ISNUMBER(Datos!EI17),Datos!EI17," - ")</f>
        <v xml:space="preserve"> - </v>
      </c>
      <c r="AU17" s="634" t="str">
        <f>IF(ISNUMBER(Datos!EV17),Datos!EV17," - ")</f>
        <v xml:space="preserve"> - </v>
      </c>
      <c r="AV17" s="634" t="str">
        <f>IF(ISNUMBER(Datos!CW17),Datos!CW17," - ")</f>
        <v xml:space="preserve"> - </v>
      </c>
      <c r="AW17" s="634">
        <f>Datos!CX17</f>
        <v>0</v>
      </c>
      <c r="AX17" s="518">
        <f>Datos!DU17</f>
        <v>0</v>
      </c>
      <c r="BU17" s="1183">
        <f>Datos!ER17/factor_trimestre</f>
        <v>272.72727272727275</v>
      </c>
    </row>
    <row r="18" spans="1:73" s="532" customFormat="1" ht="14.25">
      <c r="A18" s="653">
        <f>Datos!AO18</f>
        <v>1</v>
      </c>
      <c r="B18" s="654" t="s">
        <v>437</v>
      </c>
      <c r="C18" s="655" t="str">
        <f>Datos!A18</f>
        <v>Jdos. Violencia contra la mujer</v>
      </c>
      <c r="D18" s="549"/>
      <c r="E18" s="1337">
        <f>IF(ISNUMBER(Datos!AQ18),Datos!AQ18," - ")</f>
        <v>0</v>
      </c>
      <c r="F18" s="507" t="str">
        <f>IF(ISNUMBER(AA18+Y18-I18-K18),AA18+Y18-I18-K18," - ")</f>
        <v xml:space="preserve"> - </v>
      </c>
      <c r="G18" s="741">
        <f>IF(ISNUMBER(IF(D_I="SI",Datos!I18,Datos!I18+Datos!AC18)),IF(D_I="SI",Datos!I18,Datos!I18+Datos!AC18)," - ")</f>
        <v>14</v>
      </c>
      <c r="H18" s="620"/>
      <c r="I18" s="507" t="str">
        <f>IF(ISNUMBER(Datos!DB18),Datos!DB18," - ")</f>
        <v xml:space="preserve"> - </v>
      </c>
      <c r="J18" s="231" t="str">
        <f>IF(ISNUMBER(Datos!DC18),Datos!DC18," - ")</f>
        <v xml:space="preserve"> - </v>
      </c>
      <c r="K18" s="517">
        <f>IF(ISNUMBER(Datos!DF18),Datos!DF18,0)</f>
        <v>0</v>
      </c>
      <c r="L18" s="517" t="str">
        <f>IF(ISNUMBER(Datos!EB18),Datos!EB18," - ")</f>
        <v xml:space="preserve"> - </v>
      </c>
      <c r="M18" s="517" t="str">
        <f>IF(ISNUMBER(Datos!EC18),Datos!EC18," - ")</f>
        <v xml:space="preserve"> - </v>
      </c>
      <c r="N18" s="620">
        <f>IF(ISNUMBER(Datos!P18),Datos!P18,0)</f>
        <v>0</v>
      </c>
      <c r="O18" s="620" t="str">
        <f>IF(ISNUMBER(Datos!DE18),Datos!DE18," - ")</f>
        <v xml:space="preserve"> - </v>
      </c>
      <c r="P18" s="1283" t="str">
        <f>IF(ISNUMBER(Datos!EB18*factor_trimestre/Datos!EE18),Datos!EB18*factor_trimestre/Datos!EE18," - ")</f>
        <v xml:space="preserve"> - </v>
      </c>
      <c r="Q18" s="1283" t="str">
        <f>IF(ISNUMBER(Datos!EC18*factor_trimestre/Datos!EF18),Datos!EC18*factor_trimestre/Datos!EF18," - ")</f>
        <v xml:space="preserve"> - </v>
      </c>
      <c r="R18" s="517" t="str">
        <f>IF(ISNUMBER((Datos!AS18+Datos!AT18)),(Datos!AS18+Datos!AT18)," - ")</f>
        <v xml:space="preserve"> - </v>
      </c>
      <c r="S18" s="503" t="str">
        <f>IF(ISNUMBER(R18/(Datos!BM18/factor_trimestre)),R18/(Datos!BM18/factor_trimestre)," - ")</f>
        <v xml:space="preserve"> - </v>
      </c>
      <c r="T18" s="502" t="str">
        <f>IF(ISNUMBER(Datos!EO18),Datos!EO18," - ")</f>
        <v xml:space="preserve"> - </v>
      </c>
      <c r="U18" s="1139" t="e">
        <f>(T18/Datos!ER18)*factor_trimestre</f>
        <v>#VALUE!</v>
      </c>
      <c r="V18" s="517"/>
      <c r="W18" s="507" t="str">
        <f>IF(ISNUMBER(Datos!BY18+Datos!BZ18),Datos!BY18+Datos!BZ18," - ")</f>
        <v xml:space="preserve"> - </v>
      </c>
      <c r="X18" s="667" t="str">
        <f>IF(ISNUMBER((W18*factor_trimestre)/DatosB!CN18),(W18*factor_trimestre)/DatosB!CN18,"-")</f>
        <v>-</v>
      </c>
      <c r="Y18" s="704">
        <f>IF(ISNUMBER(IF(D_I="SI",Datos!K18,Datos!K18+Datos!AE18)),IF(D_I="SI",Datos!K18,Datos!K18+Datos!AE18)," - ")</f>
        <v>19</v>
      </c>
      <c r="Z18" s="704">
        <f>IF(ISNUMBER(Datos!Q18),Datos!Q18," - ")</f>
        <v>0</v>
      </c>
      <c r="AA18" s="506">
        <f>IF(ISNUMBER(Datos!L18),Datos!L18,"-")</f>
        <v>19</v>
      </c>
      <c r="AB18" s="504"/>
      <c r="AC18" s="504"/>
      <c r="AD18" s="517"/>
      <c r="AE18" s="517">
        <f>IF(ISNUMBER(Datos!R18),Datos!R18," - ")</f>
        <v>0</v>
      </c>
      <c r="AF18" s="620" t="str">
        <f>IF(ISNUMBER(Datos!BV18),Datos!BV18," - ")</f>
        <v xml:space="preserve"> - </v>
      </c>
      <c r="AG18" s="507" t="str">
        <f>IF(ISNUMBER(Datos!DV18),Datos!DV18," - ")</f>
        <v xml:space="preserve"> - </v>
      </c>
      <c r="AH18" s="508"/>
      <c r="AI18" s="509"/>
      <c r="AJ18" s="507">
        <f>IF(ISNUMBER(Datos!M18),Datos!M18," - ")</f>
        <v>5</v>
      </c>
      <c r="AK18" s="620">
        <f>IF(ISNUMBER(Datos!N18),Datos!N18," - ")</f>
        <v>14</v>
      </c>
      <c r="AL18" s="620" t="str">
        <f>IF(ISNUMBER(Datos!BW18),Datos!BW18," - ")</f>
        <v xml:space="preserve"> - </v>
      </c>
      <c r="AM18" s="668" t="str">
        <f>IF(ISNUMBER(Datos!BX18),Datos!BX18," - ")</f>
        <v xml:space="preserve"> - </v>
      </c>
      <c r="AN18" s="669"/>
      <c r="AO18" s="670">
        <f>IF(ISNUMBER(((NºAsuntos!I18/NºAsuntos!G18)*11)/factor_trimestre),((NºAsuntos!I18/NºAsuntos!G18)*11)/factor_trimestre," - ")</f>
        <v>3</v>
      </c>
      <c r="AP18" s="510" t="str">
        <f>IF(ISNUMBER(Datos!CI18/Datos!CJ18),Datos!CI18/Datos!CJ18," - ")</f>
        <v xml:space="preserve"> - </v>
      </c>
      <c r="AQ18" s="510" t="str">
        <f>IF(ISNUMBER((I18-Y18+K18)/(F18)),(I18-Y18+K18)/(F18)," - ")</f>
        <v xml:space="preserve"> - </v>
      </c>
      <c r="AR18" s="510" t="str">
        <f>IF(ISNUMBER((Datos!P18-Datos!Q18+O18)/(Datos!R18-Datos!P18+Datos!Q18-O18)),(Datos!P18-Datos!Q18+O18)/(Datos!R18-Datos!P18+Datos!Q18-O18)," - ")</f>
        <v xml:space="preserve"> - </v>
      </c>
      <c r="AS18" s="634" t="str">
        <f>IF(ISNUMBER(Datos!CS18),Datos!CS18," - ")</f>
        <v xml:space="preserve"> - </v>
      </c>
      <c r="AT18" s="634" t="str">
        <f>IF(ISNUMBER(Datos!EI18),Datos!EI18," - ")</f>
        <v xml:space="preserve"> - </v>
      </c>
      <c r="AU18" s="634" t="str">
        <f>IF(ISNUMBER(Datos!EV18),Datos!EV18," - ")</f>
        <v xml:space="preserve"> - </v>
      </c>
      <c r="AV18" s="634" t="str">
        <f>IF(ISNUMBER(Datos!CW18),Datos!CW18," - ")</f>
        <v xml:space="preserve"> - </v>
      </c>
      <c r="AW18" s="634">
        <f>Datos!CX18</f>
        <v>0</v>
      </c>
      <c r="AX18" s="518">
        <f>Datos!DU18</f>
        <v>0</v>
      </c>
      <c r="BU18" s="1183">
        <f>Datos!ER18/factor_trimestre</f>
        <v>436.36363636363637</v>
      </c>
    </row>
    <row r="19" spans="1:73" s="532" customFormat="1" ht="15" thickBot="1">
      <c r="A19" s="653">
        <f>Datos!AO19</f>
        <v>0</v>
      </c>
      <c r="B19" s="654" t="s">
        <v>437</v>
      </c>
      <c r="C19" s="655" t="str">
        <f>Datos!A19</f>
        <v xml:space="preserve">Jdos. de Menores                                </v>
      </c>
      <c r="D19" s="549"/>
      <c r="E19" s="1337"/>
      <c r="F19" s="507"/>
      <c r="G19" s="507"/>
      <c r="H19" s="620"/>
      <c r="I19" s="507"/>
      <c r="J19" s="502" t="str">
        <f>IF(ISNUMBER(Datos!DC19),Datos!DC19," - ")</f>
        <v xml:space="preserve"> - </v>
      </c>
      <c r="K19" s="517">
        <f>IF(ISNUMBER(Datos!DF19),Datos!DF19,0)</f>
        <v>0</v>
      </c>
      <c r="L19" s="517"/>
      <c r="M19" s="517"/>
      <c r="N19" s="620"/>
      <c r="O19" s="620"/>
      <c r="P19" s="1283"/>
      <c r="Q19" s="1283"/>
      <c r="R19" s="517">
        <f>IF(ISNUMBER(Datos!AS19),Datos!AS19,0)</f>
        <v>0</v>
      </c>
      <c r="S19" s="503"/>
      <c r="T19" s="502" t="str">
        <f>IF(ISNUMBER(Datos!EO19),Datos!EO19," - ")</f>
        <v xml:space="preserve"> - </v>
      </c>
      <c r="U19" s="1139" t="e">
        <f>(T19/Datos!ER19)*factor_trimestre</f>
        <v>#VALUE!</v>
      </c>
      <c r="V19" s="517"/>
      <c r="W19" s="507"/>
      <c r="X19" s="667"/>
      <c r="Y19" s="704"/>
      <c r="Z19" s="704"/>
      <c r="AA19" s="506"/>
      <c r="AB19" s="504"/>
      <c r="AC19" s="504"/>
      <c r="AD19" s="517"/>
      <c r="AE19" s="517"/>
      <c r="AF19" s="620"/>
      <c r="AG19" s="507"/>
      <c r="AH19" s="508"/>
      <c r="AI19" s="509"/>
      <c r="AJ19" s="507"/>
      <c r="AK19" s="620"/>
      <c r="AL19" s="620"/>
      <c r="AM19" s="668"/>
      <c r="AN19" s="669"/>
      <c r="AO19" s="670"/>
      <c r="AP19" s="510"/>
      <c r="AQ19" s="510"/>
      <c r="AR19" s="510" t="str">
        <f>IF(ISNUMBER((Datos!P19-Datos!Q19+O19)/(Datos!R19-Datos!P19+Datos!Q19-O19)),(Datos!P19-Datos!Q19+O19)/(Datos!R19-Datos!P19+Datos!Q19-O19)," - ")</f>
        <v xml:space="preserve"> - </v>
      </c>
      <c r="AS19" s="656"/>
      <c r="AT19" s="634" t="str">
        <f>IF(ISNUMBER(Datos!EI19),Datos!EI19," - ")</f>
        <v xml:space="preserve"> - </v>
      </c>
      <c r="AU19" s="634"/>
      <c r="AV19" s="634"/>
      <c r="AW19" s="634"/>
      <c r="AX19" s="518"/>
      <c r="BU19" s="1183">
        <f>Datos!ER19/factor_trimestre</f>
        <v>238.63636363636365</v>
      </c>
    </row>
    <row r="20" spans="1:73" ht="15.75" thickTop="1" thickBot="1">
      <c r="A20" s="183"/>
      <c r="B20" s="183"/>
      <c r="C20" s="1010" t="str">
        <f>Datos!A20</f>
        <v>TOTAL</v>
      </c>
      <c r="D20" s="1010"/>
      <c r="E20" s="1338">
        <f>SUBTOTAL(9,E16:E19)</f>
        <v>2</v>
      </c>
      <c r="F20" s="1045">
        <f>SUBTOTAL(9,F16:F19)</f>
        <v>234</v>
      </c>
      <c r="G20" s="1045">
        <f>SUBTOTAL(9,G16:G19)</f>
        <v>238</v>
      </c>
      <c r="H20" s="1079">
        <f>SUBTOTAL(9,H16:H19)</f>
        <v>0</v>
      </c>
      <c r="I20" s="1058">
        <f>SUBTOTAL(9,I16:I19)</f>
        <v>0</v>
      </c>
      <c r="J20" s="1014">
        <f>SUBTOTAL(9,J15:J19)</f>
        <v>0</v>
      </c>
      <c r="K20" s="1079">
        <f t="shared" ref="K20:S20" si="5">SUBTOTAL(9,K16:K19)</f>
        <v>0</v>
      </c>
      <c r="L20" s="1079">
        <f t="shared" si="5"/>
        <v>0</v>
      </c>
      <c r="M20" s="1079">
        <f t="shared" si="5"/>
        <v>0</v>
      </c>
      <c r="N20" s="1079">
        <f t="shared" si="5"/>
        <v>9</v>
      </c>
      <c r="O20" s="1079">
        <f t="shared" si="5"/>
        <v>0</v>
      </c>
      <c r="P20" s="1286">
        <f t="shared" si="5"/>
        <v>0</v>
      </c>
      <c r="Q20" s="1286">
        <f t="shared" si="5"/>
        <v>0</v>
      </c>
      <c r="R20" s="1079">
        <f t="shared" si="5"/>
        <v>0</v>
      </c>
      <c r="S20" s="1286">
        <f t="shared" si="5"/>
        <v>0</v>
      </c>
      <c r="T20" s="1011">
        <f>SUBTOTAL(9,T15:T19)</f>
        <v>0</v>
      </c>
      <c r="U20" s="1142" t="e">
        <f>SUBTOTAL(9,U15:U19)</f>
        <v>#VALUE!</v>
      </c>
      <c r="V20" s="1080">
        <f>SUBTOTAL(9,V16:V19)</f>
        <v>0</v>
      </c>
      <c r="W20" s="1079">
        <f>SUBTOTAL(9,W16:W19)</f>
        <v>0</v>
      </c>
      <c r="X20" s="1076" t="str">
        <f>IF(ISNUMBER((W20*factor_trimestre)/Datos!CN20),(W20*factor_trimestre)/Datos!CN20,"-")</f>
        <v>-</v>
      </c>
      <c r="Y20" s="1079">
        <f t="shared" ref="Y20:AN20" si="6">SUBTOTAL(9,Y16:Y19)</f>
        <v>625</v>
      </c>
      <c r="Z20" s="1079">
        <f t="shared" si="6"/>
        <v>32</v>
      </c>
      <c r="AA20" s="1079">
        <f t="shared" si="6"/>
        <v>269</v>
      </c>
      <c r="AB20" s="1079">
        <f t="shared" si="6"/>
        <v>0</v>
      </c>
      <c r="AC20" s="1079">
        <f t="shared" si="6"/>
        <v>0</v>
      </c>
      <c r="AD20" s="1079">
        <f t="shared" si="6"/>
        <v>0</v>
      </c>
      <c r="AE20" s="1079">
        <f t="shared" si="6"/>
        <v>30</v>
      </c>
      <c r="AF20" s="1079">
        <f t="shared" si="6"/>
        <v>0</v>
      </c>
      <c r="AG20" s="1079">
        <f t="shared" si="6"/>
        <v>0</v>
      </c>
      <c r="AH20" s="1079">
        <f t="shared" si="6"/>
        <v>0</v>
      </c>
      <c r="AI20" s="1079">
        <f t="shared" si="6"/>
        <v>0</v>
      </c>
      <c r="AJ20" s="1079">
        <f t="shared" si="6"/>
        <v>91</v>
      </c>
      <c r="AK20" s="1079">
        <f t="shared" si="6"/>
        <v>445</v>
      </c>
      <c r="AL20" s="1079">
        <f t="shared" si="6"/>
        <v>0</v>
      </c>
      <c r="AM20" s="1079">
        <f t="shared" si="6"/>
        <v>0</v>
      </c>
      <c r="AN20" s="1079">
        <f t="shared" si="6"/>
        <v>0</v>
      </c>
      <c r="AO20" s="1081">
        <f>IF(ISNUMBER(((NºAsuntos!I20/NºAsuntos!G20)*11)/factor_trimestre),((NºAsuntos!I20/NºAsuntos!G20)*11)/factor_trimestre," - ")</f>
        <v>1.2912000000000001</v>
      </c>
      <c r="AP20" s="1077" t="str">
        <f>IF(ISNUMBER(Datos!CI20/Datos!CJ20),Datos!CI20/Datos!CJ20," - ")</f>
        <v xml:space="preserve"> - </v>
      </c>
      <c r="AQ20" s="1082">
        <f t="shared" ref="AQ20:AV20" si="7">SUBTOTAL(9,AQ16:AQ19)</f>
        <v>0</v>
      </c>
      <c r="AR20" s="1082">
        <f t="shared" si="7"/>
        <v>0</v>
      </c>
      <c r="AS20" s="1077">
        <f t="shared" si="7"/>
        <v>0</v>
      </c>
      <c r="AT20" s="1077">
        <f t="shared" si="7"/>
        <v>0</v>
      </c>
      <c r="AU20" s="1077">
        <f t="shared" si="7"/>
        <v>0</v>
      </c>
      <c r="AV20" s="1077">
        <f t="shared" si="7"/>
        <v>0</v>
      </c>
      <c r="AW20" s="1077"/>
      <c r="AX20" s="1077"/>
      <c r="BU20" s="1053"/>
    </row>
    <row r="21" spans="1:73" ht="18.75" customHeight="1" thickTop="1" thickBot="1">
      <c r="A21" s="177"/>
      <c r="B21" s="177"/>
      <c r="C21" s="965" t="str">
        <f>Datos!A21</f>
        <v>TOTAL JURISDICCIONES</v>
      </c>
      <c r="D21" s="966"/>
      <c r="E21" s="1339">
        <f t="shared" ref="E21:O21" si="8">SUBTOTAL(9,E9:E20)</f>
        <v>4</v>
      </c>
      <c r="F21" s="967">
        <f t="shared" si="8"/>
        <v>235</v>
      </c>
      <c r="G21" s="967">
        <f t="shared" si="8"/>
        <v>239</v>
      </c>
      <c r="H21" s="968">
        <f t="shared" si="8"/>
        <v>0</v>
      </c>
      <c r="I21" s="967">
        <f t="shared" si="8"/>
        <v>0</v>
      </c>
      <c r="J21" s="969">
        <f t="shared" si="8"/>
        <v>0</v>
      </c>
      <c r="K21" s="967">
        <f t="shared" si="8"/>
        <v>0</v>
      </c>
      <c r="L21" s="970">
        <f t="shared" si="8"/>
        <v>0</v>
      </c>
      <c r="M21" s="967">
        <f t="shared" si="8"/>
        <v>0</v>
      </c>
      <c r="N21" s="968">
        <f t="shared" si="8"/>
        <v>86</v>
      </c>
      <c r="O21" s="968">
        <f t="shared" si="8"/>
        <v>0</v>
      </c>
      <c r="P21" s="1287">
        <f>IF(ISNUMBER(AVERAGE(P8:P20)),AVERAGE(P8:P20),"-")</f>
        <v>0</v>
      </c>
      <c r="Q21" s="1287">
        <f>IF(ISNUMBER(AVERAGE(Q8:Q20)),AVERAGE(Q8:Q20),"-")</f>
        <v>0</v>
      </c>
      <c r="R21" s="968">
        <f>SUBTOTAL(9,R9:R20)</f>
        <v>0</v>
      </c>
      <c r="S21" s="1287">
        <f>IF(ISNUMBER(AVERAGE(S8:S20)),AVERAGE(S8:S20),"-")</f>
        <v>0</v>
      </c>
      <c r="T21" s="1027">
        <f>SUBTOTAL(9,T9:T20)</f>
        <v>0</v>
      </c>
      <c r="U21" s="1143" t="e">
        <f>SUBTOTAL(9,U9:U20)</f>
        <v>#VALUE!</v>
      </c>
      <c r="V21" s="972">
        <f>SUBTOTAL(9,V9:V20)</f>
        <v>0</v>
      </c>
      <c r="W21" s="967">
        <f>SUBTOTAL(9,W9:W20)</f>
        <v>0</v>
      </c>
      <c r="X21" s="973">
        <f>IF(ISNUMBER(AVERAGE(X8:X20)),AVERAGE(X8:X20),"-")</f>
        <v>0</v>
      </c>
      <c r="Y21" s="974">
        <f t="shared" ref="Y21:AM21" si="9">SUBTOTAL(9,Y9:Y20)</f>
        <v>626</v>
      </c>
      <c r="Z21" s="974">
        <f t="shared" si="9"/>
        <v>65</v>
      </c>
      <c r="AA21" s="975">
        <f t="shared" si="9"/>
        <v>271</v>
      </c>
      <c r="AB21" s="975">
        <f t="shared" si="9"/>
        <v>0</v>
      </c>
      <c r="AC21" s="975">
        <f t="shared" si="9"/>
        <v>0</v>
      </c>
      <c r="AD21" s="976">
        <f t="shared" si="9"/>
        <v>0</v>
      </c>
      <c r="AE21" s="976">
        <f t="shared" si="9"/>
        <v>1393</v>
      </c>
      <c r="AF21" s="977">
        <f t="shared" si="9"/>
        <v>0</v>
      </c>
      <c r="AG21" s="978">
        <f t="shared" si="9"/>
        <v>0</v>
      </c>
      <c r="AH21" s="979">
        <f t="shared" si="9"/>
        <v>0</v>
      </c>
      <c r="AI21" s="977">
        <f t="shared" si="9"/>
        <v>0</v>
      </c>
      <c r="AJ21" s="967">
        <f t="shared" si="9"/>
        <v>175</v>
      </c>
      <c r="AK21" s="967">
        <f t="shared" si="9"/>
        <v>559</v>
      </c>
      <c r="AL21" s="967">
        <f t="shared" si="9"/>
        <v>0</v>
      </c>
      <c r="AM21" s="980">
        <f t="shared" si="9"/>
        <v>0</v>
      </c>
      <c r="AN21" s="970">
        <f>IF(ISNUMBER(Datos!K21/Datos!J21),Datos!K21/Datos!J21," - ")</f>
        <v>0.92520491803278693</v>
      </c>
      <c r="AO21" s="970">
        <f>IF(ISNUMBER(FIND("06",Criterios!A8,1)),(IF(ISNUMBER(((Datos!R21/Datos!Q21)*11)/factor_trimestre),((Datos!R21/Datos!Q21)*11)/factor_trimestre," - ")),(IF(ISNUMBER(((Datos!L21/Datos!K21)*11)/factor_trimestre),((Datos!L21/Datos!K21)*11)/factor_trimestre," - ")))</f>
        <v>4.3953488372093021</v>
      </c>
      <c r="AP21" s="981" t="str">
        <f>IF(ISNUMBER(Datos!CI21/Datos!CJ21),Datos!CI21/Datos!CJ21," - ")</f>
        <v xml:space="preserve"> - </v>
      </c>
      <c r="AQ21" s="981">
        <f>IF(OR(ISNUMBER(FIND("01",Criterios!A8,1)),ISNUMBER(FIND("02",Criterios!A8,1)),ISNUMBER(FIND("03",Criterios!A8,1)),ISNUMBER(FIND("04",Criterios!A8,1))),(J21-Y21+K21)/(F21-K21),(I21-Y21+K21)/(F21-K21))</f>
        <v>-2.6638297872340426</v>
      </c>
      <c r="AR21" s="981">
        <f>IF(ISNUMBER((Datos!P21-Datos!Q21+O21)/(Datos!R21-Datos!P21+Datos!Q21-O21)),(Datos!P21-Datos!Q21+O21)/(Datos!R21-Datos!P21+Datos!Q21-O21)," - ")</f>
        <v>1.5306122448979591E-2</v>
      </c>
      <c r="AS21" s="982">
        <f>SUBTOTAL(9,AS9:AS20)</f>
        <v>0</v>
      </c>
      <c r="AT21" s="982">
        <f>SUBTOTAL(9,AT9:AT20)</f>
        <v>0</v>
      </c>
      <c r="AU21" s="982">
        <f>SUBTOTAL(9,AU9:AU20)</f>
        <v>0</v>
      </c>
      <c r="AV21" s="982">
        <f>SUBTOTAL(9,AV9:AV20)</f>
        <v>0</v>
      </c>
      <c r="AW21" s="983"/>
      <c r="AX21" s="984"/>
      <c r="BU21" s="1066"/>
    </row>
    <row r="22" spans="1:73" ht="18.75" customHeight="1" thickTop="1" thickBot="1">
      <c r="A22" s="172"/>
      <c r="B22" s="172">
        <f>'Indicadores CA'!B22</f>
        <v>0</v>
      </c>
      <c r="C22" s="985" t="s">
        <v>291</v>
      </c>
      <c r="D22" s="986"/>
      <c r="E22" s="1340">
        <f ca="1">IF(ISNUMBER(SUMIF($B8:$B20,$B22,E8:E20)/INDIRECT("Datos!AP"&amp;ROW()-1)),SUMIF($B8:$B20,$B22,E8:E20)/INDIRECT("Datos!AP"&amp;ROW()-1),"-")</f>
        <v>0</v>
      </c>
      <c r="F22" s="960">
        <f ca="1">IF(ISNUMBER(SUMIF($B8:$B20,$B22,F8:F20)/INDIRECT("Datos!AP"&amp;ROW()-1)),SUMIF($B8:$B20,$B22,F8:F20)/INDIRECT("Datos!AP"&amp;ROW()-1),"-")</f>
        <v>0</v>
      </c>
      <c r="G22" s="960">
        <f>IF(ISNUMBER(AVERAGE(G8:G20)),AVERAGE(G8:G20),"-")</f>
        <v>95.6</v>
      </c>
      <c r="H22" s="960">
        <f t="shared" ref="H22:AO22" ca="1" si="10">IF(ISNUMBER(SUMIF($B8:$B20,$B22,H8:H20)/INDIRECT("Datos!AP"&amp;ROW()-1)),SUMIF($B8:$B20,$B22,H8:H20)/INDIRECT("Datos!AP"&amp;ROW()-1),"-")</f>
        <v>0</v>
      </c>
      <c r="I22" s="960">
        <f t="shared" ca="1" si="10"/>
        <v>0</v>
      </c>
      <c r="J22" s="962">
        <f t="shared" ca="1" si="10"/>
        <v>0</v>
      </c>
      <c r="K22" s="960">
        <f t="shared" ca="1" si="10"/>
        <v>0</v>
      </c>
      <c r="L22" s="960">
        <f t="shared" ca="1" si="10"/>
        <v>0</v>
      </c>
      <c r="M22" s="960">
        <f t="shared" ca="1" si="10"/>
        <v>0</v>
      </c>
      <c r="N22" s="960">
        <f t="shared" ca="1" si="10"/>
        <v>0</v>
      </c>
      <c r="O22" s="960">
        <f t="shared" ca="1" si="10"/>
        <v>0</v>
      </c>
      <c r="P22" s="1288">
        <f t="shared" ca="1" si="10"/>
        <v>0</v>
      </c>
      <c r="Q22" s="1288">
        <f t="shared" ca="1" si="10"/>
        <v>0</v>
      </c>
      <c r="R22" s="960">
        <f t="shared" ca="1" si="10"/>
        <v>0</v>
      </c>
      <c r="S22" s="1288">
        <f t="shared" ca="1" si="10"/>
        <v>0</v>
      </c>
      <c r="T22" s="962">
        <f t="shared" ca="1" si="10"/>
        <v>0</v>
      </c>
      <c r="U22" s="1144">
        <f t="shared" ca="1" si="10"/>
        <v>0</v>
      </c>
      <c r="V22" s="987">
        <f t="shared" ca="1" si="10"/>
        <v>0</v>
      </c>
      <c r="W22" s="960">
        <f t="shared" ca="1" si="10"/>
        <v>0</v>
      </c>
      <c r="X22" s="988">
        <f t="shared" ca="1" si="10"/>
        <v>0</v>
      </c>
      <c r="Y22" s="961">
        <f t="shared" ca="1" si="10"/>
        <v>0</v>
      </c>
      <c r="Z22" s="961">
        <f t="shared" ca="1" si="10"/>
        <v>0</v>
      </c>
      <c r="AA22" s="961">
        <f t="shared" ca="1" si="10"/>
        <v>0</v>
      </c>
      <c r="AB22" s="961">
        <f t="shared" ca="1" si="10"/>
        <v>0</v>
      </c>
      <c r="AC22" s="961">
        <f t="shared" ca="1" si="10"/>
        <v>0</v>
      </c>
      <c r="AD22" s="989">
        <f t="shared" ca="1" si="10"/>
        <v>0</v>
      </c>
      <c r="AE22" s="989">
        <f t="shared" ca="1" si="10"/>
        <v>0</v>
      </c>
      <c r="AF22" s="962">
        <f t="shared" ca="1" si="10"/>
        <v>0</v>
      </c>
      <c r="AG22" s="990">
        <f t="shared" ca="1" si="10"/>
        <v>0</v>
      </c>
      <c r="AH22" s="989">
        <f t="shared" ca="1" si="10"/>
        <v>0</v>
      </c>
      <c r="AI22" s="962">
        <f t="shared" ca="1" si="10"/>
        <v>0</v>
      </c>
      <c r="AJ22" s="960">
        <f t="shared" ca="1" si="10"/>
        <v>0</v>
      </c>
      <c r="AK22" s="960">
        <f t="shared" ca="1" si="10"/>
        <v>0</v>
      </c>
      <c r="AL22" s="960">
        <f t="shared" ca="1" si="10"/>
        <v>0</v>
      </c>
      <c r="AM22" s="962">
        <f t="shared" ca="1" si="10"/>
        <v>0</v>
      </c>
      <c r="AN22" s="960">
        <f t="shared" ca="1" si="10"/>
        <v>0</v>
      </c>
      <c r="AO22" s="960">
        <f t="shared" ca="1" si="10"/>
        <v>0</v>
      </c>
      <c r="AP22" s="981" t="e">
        <f ca="1">INDIRECT("Datos!CI"&amp;ROW()-1)/INDIRECT("Datos!CJ"&amp;ROW()-1)</f>
        <v>#DIV/0!</v>
      </c>
      <c r="AQ22" s="981" t="e">
        <f ca="1">IF(OR(ISNUMBER(FIND("01",Criterios!A8,1)),ISNUMBER(FIND("02",Criterios!A8,1)),ISNUMBER(FIND("03",Criterios!A8,1)),ISNUMBER(FIND("04",Criterios!A8,1))),(J22-Y22+K22)/(F22-K22),(I22-Y22+K22)/(F22-K22))</f>
        <v>#DIV/0!</v>
      </c>
      <c r="AR22" s="991">
        <f t="shared" ref="AR22:AW22" ca="1" si="11">IF(ISNUMBER(SUMIF($B8:$B20,$B22,AR8:AR20)/INDIRECT("Datos!AP"&amp;ROW()-1)),SUMIF($B8:$B20,$B22,AR8:AR20)/INDIRECT("Datos!AP"&amp;ROW()-1),"-")</f>
        <v>0</v>
      </c>
      <c r="AS22" s="992">
        <f t="shared" ca="1" si="11"/>
        <v>0</v>
      </c>
      <c r="AT22" s="992">
        <f t="shared" ca="1" si="11"/>
        <v>0</v>
      </c>
      <c r="AU22" s="992">
        <f t="shared" ca="1" si="11"/>
        <v>0</v>
      </c>
      <c r="AV22" s="992">
        <f t="shared" ca="1" si="11"/>
        <v>0</v>
      </c>
      <c r="AW22" s="992">
        <f t="shared" ca="1" si="11"/>
        <v>0</v>
      </c>
      <c r="AX22" s="992"/>
      <c r="BU22" s="1074"/>
    </row>
    <row r="23" spans="1:73" ht="18.75" hidden="1" customHeight="1" thickTop="1" thickBot="1">
      <c r="A23" s="173"/>
      <c r="B23" s="173"/>
      <c r="C23" s="577" t="s">
        <v>292</v>
      </c>
      <c r="D23" s="351"/>
      <c r="E23" s="632"/>
      <c r="F23" s="257">
        <f>IF(ISNUMBER(STDEV(F8:F20)),STDEV(F8:F20),"-")</f>
        <v>134.52261272118281</v>
      </c>
      <c r="G23" s="601">
        <f>IF(ISNUMBER(STDEV(G8:G20)),STDEV(G8:G20),"-")</f>
        <v>123.81558867929353</v>
      </c>
      <c r="H23" s="260"/>
      <c r="I23" s="257">
        <f>IF(ISNUMBER(STDEV(I8:I20)),STDEV(I8:I20),"-")</f>
        <v>0</v>
      </c>
      <c r="J23" s="259">
        <f>IF(ISNUMBER(STDEV(J8:J20)),STDEV(J8:J20),"-")</f>
        <v>0</v>
      </c>
      <c r="K23" s="662"/>
      <c r="L23" s="662"/>
      <c r="M23" s="662"/>
      <c r="N23" s="260"/>
      <c r="O23" s="260"/>
      <c r="P23" s="1289"/>
      <c r="Q23" s="1289"/>
      <c r="R23" s="260"/>
      <c r="S23" s="1291"/>
      <c r="T23" s="306"/>
      <c r="U23" s="1145"/>
      <c r="V23" s="662"/>
      <c r="W23" s="257">
        <f>IF(ISNUMBER(STDEV(W8:W20)),STDEV(W8:W20),"-")</f>
        <v>0</v>
      </c>
      <c r="X23" s="318">
        <f>IF(ISNUMBER(STDEV(X8:X20)),STDEV(X8:X20),"-")</f>
        <v>0</v>
      </c>
      <c r="Y23" s="287"/>
      <c r="Z23" s="287"/>
      <c r="AA23" s="287"/>
      <c r="AB23" s="287"/>
      <c r="AC23" s="287"/>
      <c r="AD23" s="287"/>
      <c r="AE23" s="287"/>
      <c r="AF23" s="259">
        <f>IF(ISNUMBER(STDEV(AF8:AF20)),STDEV(AF8:AF20),"-")</f>
        <v>0</v>
      </c>
      <c r="AG23" s="260">
        <f>IF(ISNUMBER(STDEV(AG8:AG20)),STDEV(AG8:AG20),"-")</f>
        <v>0</v>
      </c>
      <c r="AH23" s="287">
        <f>IF(ISNUMBER(STDEV(AH8:AH20)),STDEV(AH8:AH20),"-")</f>
        <v>0</v>
      </c>
      <c r="AI23" s="302"/>
      <c r="AJ23" s="257">
        <f>IF(ISNUMBER(STDEV(AJ8:AJ20)),STDEV(AJ8:AJ20),"-")</f>
        <v>42.968205299577811</v>
      </c>
      <c r="AK23" s="257"/>
      <c r="AL23" s="257">
        <f>IF(ISNUMBER(STDEV(AL8:AL20)),STDEV(AL8:AL20),"-")</f>
        <v>0</v>
      </c>
      <c r="AM23" s="259">
        <f>IF(ISNUMBER(STDEV(AM8:AM20)),STDEV(AM8:AM20),"-")</f>
        <v>0</v>
      </c>
      <c r="AN23" s="587">
        <f>IF(ISNUMBER(STDEV(AN8:AN20)),STDEV(AN8:AN20),"-")</f>
        <v>0</v>
      </c>
      <c r="AO23" s="588">
        <f>IF(ISNUMBER(STDEV(AO8:AO20)),STDEV(AO8:AO20),"-")</f>
        <v>4.1907379061099679</v>
      </c>
      <c r="AP23" s="589" t="str">
        <f>IF(ISNUMBER(STDEV(AP8:AP20)),STDEV(AP8:AP20),"-")</f>
        <v>-</v>
      </c>
      <c r="AQ23" s="302"/>
      <c r="AR23" s="302"/>
      <c r="AS23" s="302"/>
      <c r="AT23" s="302"/>
      <c r="AU23" s="302"/>
      <c r="AV23" s="302"/>
      <c r="AW23" s="306">
        <f>IF(ISNUMBER(STDEV(AW8:AW20)),STDEV(AW8:AW20),"-")</f>
        <v>0</v>
      </c>
      <c r="AX23" s="590">
        <f>IF(ISNUMBER(STDEV(AX8:AX20)),STDEV(AX8:AX20),"-")</f>
        <v>0</v>
      </c>
      <c r="BU23" s="612">
        <f>IF(ISNUMBER(STDEV(BU8:BU20)),STDEV(BU8:BU20),"-")</f>
        <v>214.81445482089873</v>
      </c>
    </row>
    <row r="24" spans="1:73" ht="12" customHeight="1" thickTop="1" thickBot="1">
      <c r="C24" s="578"/>
      <c r="D24" s="75"/>
      <c r="E24" s="75"/>
      <c r="F24" s="591"/>
      <c r="G24" s="614"/>
      <c r="H24" s="591"/>
      <c r="I24" s="591"/>
      <c r="K24" s="663"/>
      <c r="L24" s="663"/>
      <c r="M24" s="663"/>
      <c r="N24" s="591"/>
      <c r="O24" s="591"/>
      <c r="P24" s="1290"/>
      <c r="Q24" s="1290"/>
      <c r="R24" s="643"/>
      <c r="S24" s="1290"/>
      <c r="T24" s="97"/>
      <c r="U24" s="710"/>
      <c r="V24" s="663"/>
      <c r="W24" s="591"/>
      <c r="X24" s="592"/>
      <c r="Y24" s="643"/>
      <c r="Z24" s="643"/>
      <c r="AA24" s="591"/>
      <c r="AB24" s="591"/>
      <c r="AC24" s="591"/>
      <c r="AD24" s="591"/>
      <c r="AE24" s="591"/>
      <c r="AF24" s="591"/>
      <c r="AG24" s="591"/>
      <c r="AH24" s="591"/>
      <c r="AI24" s="591"/>
      <c r="AJ24" s="591"/>
      <c r="AK24" s="591"/>
      <c r="AL24" s="591"/>
      <c r="AM24" s="591"/>
      <c r="AN24" s="591"/>
      <c r="AO24" s="591"/>
      <c r="AP24" s="592"/>
      <c r="AQ24" s="643"/>
      <c r="AR24" s="643"/>
      <c r="AS24" s="643"/>
      <c r="AT24" s="643"/>
      <c r="AU24" s="643"/>
      <c r="AV24" s="643"/>
      <c r="AW24" s="593"/>
      <c r="AX24" s="594"/>
      <c r="BU24" s="618"/>
    </row>
    <row r="25" spans="1:73" ht="15" thickBot="1">
      <c r="C25" s="519"/>
      <c r="D25" s="585"/>
      <c r="E25" s="585"/>
      <c r="F25" s="595"/>
      <c r="G25" s="595"/>
      <c r="H25" s="595"/>
      <c r="I25" s="595"/>
      <c r="J25" s="595"/>
      <c r="K25" s="664"/>
      <c r="L25" s="664"/>
      <c r="M25" s="664"/>
      <c r="N25" s="595"/>
      <c r="O25" s="595"/>
      <c r="P25" s="597"/>
      <c r="Q25" s="597"/>
      <c r="R25" s="644"/>
      <c r="S25" s="1292"/>
      <c r="T25" s="1181"/>
      <c r="U25" s="596"/>
      <c r="V25" s="1180"/>
      <c r="W25" s="595"/>
      <c r="X25" s="597"/>
      <c r="Y25" s="644"/>
      <c r="Z25" s="644"/>
      <c r="AA25" s="595"/>
      <c r="AB25" s="595"/>
      <c r="AC25" s="595"/>
      <c r="AD25" s="595"/>
      <c r="AE25" s="595"/>
      <c r="AF25" s="598"/>
      <c r="AG25" s="595"/>
      <c r="AH25" s="595"/>
      <c r="AI25" s="595"/>
      <c r="AJ25" s="595"/>
      <c r="AK25" s="595"/>
      <c r="AL25" s="595"/>
      <c r="AM25" s="595"/>
      <c r="AN25" s="595"/>
      <c r="AO25" s="595"/>
      <c r="AP25" s="596"/>
      <c r="AQ25" s="644"/>
      <c r="AR25" s="644"/>
      <c r="AS25" s="644"/>
      <c r="AT25" s="644"/>
      <c r="AU25" s="644"/>
      <c r="AV25" s="644"/>
      <c r="AW25" s="599"/>
      <c r="AX25" s="599"/>
      <c r="BU25" s="623"/>
    </row>
    <row r="26" spans="1:73" ht="15" thickBot="1">
      <c r="C26" s="519"/>
      <c r="D26" s="585"/>
      <c r="E26" s="585"/>
      <c r="F26" s="595"/>
      <c r="G26" s="595"/>
      <c r="H26" s="595"/>
      <c r="I26" s="595"/>
      <c r="J26" s="595"/>
      <c r="K26" s="664"/>
      <c r="L26" s="664"/>
      <c r="M26" s="664"/>
      <c r="N26" s="595"/>
      <c r="O26" s="595"/>
      <c r="P26" s="597"/>
      <c r="Q26" s="597"/>
      <c r="R26" s="644"/>
      <c r="S26" s="1292"/>
      <c r="T26" s="595"/>
      <c r="U26" s="596"/>
      <c r="V26" s="1180"/>
      <c r="W26" s="595"/>
      <c r="X26" s="597"/>
      <c r="Y26" s="644"/>
      <c r="Z26" s="644"/>
      <c r="AA26" s="595"/>
      <c r="AB26" s="595"/>
      <c r="AC26" s="595"/>
      <c r="AD26" s="595"/>
      <c r="AE26" s="595"/>
      <c r="AF26" s="598"/>
      <c r="AG26" s="595"/>
      <c r="AH26" s="595"/>
      <c r="AI26" s="595"/>
      <c r="AJ26" s="595"/>
      <c r="AK26" s="595"/>
      <c r="AL26" s="595"/>
      <c r="AM26" s="595"/>
      <c r="AN26" s="595"/>
      <c r="AO26" s="595"/>
      <c r="AP26" s="596"/>
      <c r="AQ26" s="644"/>
      <c r="AR26" s="644"/>
      <c r="AS26" s="644"/>
      <c r="AT26" s="644"/>
      <c r="AU26" s="644"/>
      <c r="AV26" s="644"/>
      <c r="AW26" s="599"/>
      <c r="AX26" s="599"/>
      <c r="BU26" s="623"/>
    </row>
    <row r="27" spans="1:73" ht="12.75" hidden="1" customHeight="1">
      <c r="C27" s="299" t="s">
        <v>289</v>
      </c>
      <c r="D27" s="586"/>
      <c r="E27" s="633">
        <f t="shared" ref="E27:O27" si="12">E25+2*E26</f>
        <v>0</v>
      </c>
      <c r="F27" s="550">
        <f t="shared" si="12"/>
        <v>0</v>
      </c>
      <c r="G27" s="559">
        <f t="shared" si="12"/>
        <v>0</v>
      </c>
      <c r="H27" s="569">
        <f t="shared" si="12"/>
        <v>0</v>
      </c>
      <c r="I27" s="569">
        <f t="shared" si="12"/>
        <v>0</v>
      </c>
      <c r="J27" s="147">
        <f t="shared" si="12"/>
        <v>0</v>
      </c>
      <c r="K27" s="569">
        <f t="shared" si="12"/>
        <v>0</v>
      </c>
      <c r="L27" s="569">
        <f t="shared" si="12"/>
        <v>0</v>
      </c>
      <c r="M27" s="569">
        <f t="shared" si="12"/>
        <v>0</v>
      </c>
      <c r="N27" s="569">
        <f t="shared" si="12"/>
        <v>0</v>
      </c>
      <c r="O27" s="569">
        <f t="shared" si="12"/>
        <v>0</v>
      </c>
      <c r="P27" s="570">
        <f t="shared" ref="P27:Z27" si="13">P25+2*P26</f>
        <v>0</v>
      </c>
      <c r="Q27" s="570">
        <f t="shared" si="13"/>
        <v>0</v>
      </c>
      <c r="R27" s="569">
        <f t="shared" si="13"/>
        <v>0</v>
      </c>
      <c r="S27" s="699">
        <f t="shared" si="13"/>
        <v>0</v>
      </c>
      <c r="T27" s="702">
        <f t="shared" si="13"/>
        <v>0</v>
      </c>
      <c r="U27" s="699">
        <f t="shared" si="13"/>
        <v>0</v>
      </c>
      <c r="V27" s="702">
        <f>V25+2*V26</f>
        <v>0</v>
      </c>
      <c r="W27" s="569">
        <f t="shared" si="13"/>
        <v>0</v>
      </c>
      <c r="X27" s="570">
        <f t="shared" si="13"/>
        <v>0</v>
      </c>
      <c r="Y27" s="637">
        <f t="shared" si="13"/>
        <v>0</v>
      </c>
      <c r="Z27" s="637">
        <f t="shared" si="13"/>
        <v>0</v>
      </c>
      <c r="AA27" s="569">
        <f t="shared" ref="AA27:AR27" si="14">AA25+2*AA26</f>
        <v>0</v>
      </c>
      <c r="AB27" s="569">
        <f t="shared" si="14"/>
        <v>0</v>
      </c>
      <c r="AC27" s="569">
        <f t="shared" si="14"/>
        <v>0</v>
      </c>
      <c r="AD27" s="569">
        <f t="shared" si="14"/>
        <v>0</v>
      </c>
      <c r="AE27" s="569">
        <f t="shared" si="14"/>
        <v>0</v>
      </c>
      <c r="AF27" s="569">
        <f t="shared" si="14"/>
        <v>0</v>
      </c>
      <c r="AG27" s="569">
        <f t="shared" si="14"/>
        <v>0</v>
      </c>
      <c r="AH27" s="569">
        <f t="shared" si="14"/>
        <v>0</v>
      </c>
      <c r="AI27" s="569">
        <f t="shared" si="14"/>
        <v>0</v>
      </c>
      <c r="AJ27" s="569">
        <f t="shared" si="14"/>
        <v>0</v>
      </c>
      <c r="AK27" s="569">
        <f t="shared" si="14"/>
        <v>0</v>
      </c>
      <c r="AL27" s="569">
        <f t="shared" si="14"/>
        <v>0</v>
      </c>
      <c r="AM27" s="569">
        <f t="shared" si="14"/>
        <v>0</v>
      </c>
      <c r="AN27" s="579">
        <f t="shared" si="14"/>
        <v>0</v>
      </c>
      <c r="AO27" s="579">
        <f t="shared" si="14"/>
        <v>0</v>
      </c>
      <c r="AP27" s="570">
        <f t="shared" si="14"/>
        <v>0</v>
      </c>
      <c r="AQ27" s="570">
        <f t="shared" si="14"/>
        <v>0</v>
      </c>
      <c r="AR27" s="570">
        <f t="shared" si="14"/>
        <v>0</v>
      </c>
      <c r="AS27" s="637">
        <f>AS25+2*AS26</f>
        <v>0</v>
      </c>
      <c r="AT27" s="637">
        <f>AT25+2*AT26</f>
        <v>0</v>
      </c>
      <c r="AU27" s="637">
        <f>AU25+2*AU26</f>
        <v>0</v>
      </c>
      <c r="AV27" s="637">
        <f>AV25+2*AV26</f>
        <v>0</v>
      </c>
      <c r="AW27" s="569">
        <f>(AW25-ultimoDiaTrim)+2*AW26</f>
        <v>0</v>
      </c>
      <c r="AX27" s="580"/>
      <c r="BU27" s="572"/>
    </row>
    <row r="28" spans="1:73" ht="12.75" hidden="1" customHeight="1">
      <c r="C28" s="299" t="s">
        <v>290</v>
      </c>
      <c r="D28" s="586"/>
      <c r="E28" s="546">
        <f>MIN(0,F25-2*F26)</f>
        <v>0</v>
      </c>
      <c r="F28" s="548">
        <f>MIN(0,I25-2*I26)</f>
        <v>0</v>
      </c>
      <c r="G28" s="559">
        <f>MIN(0,G25-2*G26)</f>
        <v>0</v>
      </c>
      <c r="H28" s="545">
        <f>MIN(0,H25-2*H26)</f>
        <v>0</v>
      </c>
      <c r="I28" s="545">
        <f>MIN(0,I25-2*I26)</f>
        <v>0</v>
      </c>
      <c r="J28" s="148">
        <f>MIN(0,J25-2*J26)</f>
        <v>0</v>
      </c>
      <c r="K28" s="545">
        <f t="shared" ref="K28:U28" si="15">MIN(0,K25-2*K26)</f>
        <v>0</v>
      </c>
      <c r="L28" s="545">
        <f t="shared" si="15"/>
        <v>0</v>
      </c>
      <c r="M28" s="545">
        <f t="shared" si="15"/>
        <v>0</v>
      </c>
      <c r="N28" s="545">
        <f t="shared" si="15"/>
        <v>0</v>
      </c>
      <c r="O28" s="545">
        <f t="shared" si="15"/>
        <v>0</v>
      </c>
      <c r="P28" s="571">
        <f t="shared" si="15"/>
        <v>0</v>
      </c>
      <c r="Q28" s="571">
        <f t="shared" si="15"/>
        <v>0</v>
      </c>
      <c r="R28" s="545">
        <f t="shared" si="15"/>
        <v>0</v>
      </c>
      <c r="S28" s="700">
        <f t="shared" si="15"/>
        <v>0</v>
      </c>
      <c r="T28" s="547">
        <f t="shared" si="15"/>
        <v>0</v>
      </c>
      <c r="U28" s="700">
        <f t="shared" si="15"/>
        <v>0</v>
      </c>
      <c r="V28" s="547">
        <f>MIN(0,V25-2*V26)</f>
        <v>0</v>
      </c>
      <c r="W28" s="545">
        <f>MIN(0,W25-2*W26)</f>
        <v>0</v>
      </c>
      <c r="X28" s="571">
        <f>MIN(0,X25-2*X26)</f>
        <v>0</v>
      </c>
      <c r="Y28" s="629">
        <f>MIN(0,Y25-2*Y26)</f>
        <v>0</v>
      </c>
      <c r="Z28" s="629">
        <f>MIN(0,Z25-2*Z26)</f>
        <v>0</v>
      </c>
      <c r="AA28" s="545">
        <f t="shared" ref="AA28:AH28" si="16">MIN(0,AA25-2*AA26)</f>
        <v>0</v>
      </c>
      <c r="AB28" s="545">
        <f t="shared" si="16"/>
        <v>0</v>
      </c>
      <c r="AC28" s="545">
        <f t="shared" si="16"/>
        <v>0</v>
      </c>
      <c r="AD28" s="545">
        <f t="shared" si="16"/>
        <v>0</v>
      </c>
      <c r="AE28" s="545">
        <f t="shared" si="16"/>
        <v>0</v>
      </c>
      <c r="AF28" s="545">
        <f t="shared" si="16"/>
        <v>0</v>
      </c>
      <c r="AG28" s="545">
        <f t="shared" si="16"/>
        <v>0</v>
      </c>
      <c r="AH28" s="545">
        <f t="shared" si="16"/>
        <v>0</v>
      </c>
      <c r="AI28" s="545">
        <f>MIN(0,AI25-2*AI26)</f>
        <v>0</v>
      </c>
      <c r="AJ28" s="545">
        <f t="shared" ref="AJ28:AR28" si="17">MIN(0,AJ25-2*AJ26)</f>
        <v>0</v>
      </c>
      <c r="AK28" s="545">
        <f t="shared" si="17"/>
        <v>0</v>
      </c>
      <c r="AL28" s="545">
        <f t="shared" si="17"/>
        <v>0</v>
      </c>
      <c r="AM28" s="545">
        <f t="shared" si="17"/>
        <v>0</v>
      </c>
      <c r="AN28" s="565">
        <f t="shared" si="17"/>
        <v>0</v>
      </c>
      <c r="AO28" s="565">
        <f t="shared" si="17"/>
        <v>0</v>
      </c>
      <c r="AP28" s="571">
        <f t="shared" si="17"/>
        <v>0</v>
      </c>
      <c r="AQ28" s="571">
        <f t="shared" si="17"/>
        <v>0</v>
      </c>
      <c r="AR28" s="571">
        <f t="shared" si="17"/>
        <v>0</v>
      </c>
      <c r="AS28" s="629">
        <f>MIN(0,AS25-2*AS26)</f>
        <v>0</v>
      </c>
      <c r="AT28" s="629">
        <f>MIN(0,AT25-2*AT26)</f>
        <v>0</v>
      </c>
      <c r="AU28" s="629">
        <f>MIN(0,AU25-2*AU26)</f>
        <v>0</v>
      </c>
      <c r="AV28" s="629">
        <f>MIN(0,AV25-2*AV26)</f>
        <v>0</v>
      </c>
      <c r="AW28" s="545">
        <f>MIN(0,(AW25-ultimoDiaTrim)-2*AW26)</f>
        <v>0</v>
      </c>
      <c r="AX28" s="572"/>
      <c r="BU28" s="572"/>
    </row>
    <row r="29" spans="1:73">
      <c r="C29" s="581"/>
      <c r="D29" s="73"/>
      <c r="E29" s="73"/>
    </row>
    <row r="32" spans="1:73">
      <c r="C32" s="582" t="str">
        <f>Criterios!A4</f>
        <v>Fecha Informe: 06 jun. 2023</v>
      </c>
    </row>
    <row r="33" spans="3:22">
      <c r="V33" s="1182"/>
    </row>
    <row r="34" spans="3:22" ht="13.5" thickBot="1">
      <c r="C34" s="583"/>
      <c r="D34" s="573"/>
      <c r="E34" s="573"/>
    </row>
    <row r="35" spans="3:22" ht="15" thickBot="1">
      <c r="L35" s="595"/>
    </row>
  </sheetData>
  <sheetProtection algorithmName="SHA-512" hashValue="PjEqsqiqmgmnVPOH3LtWfNTOEmextEhNQtQoKfxaG3TKlxUO0mri0oK0zXXWU/tJtIudanF6x4mbl4QUp1ArMg==" saltValue="EG1iuTVEszrgmVvBIbSR4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3 AO15:AO20">
    <cfRule type="cellIs" dxfId="823" priority="690" stopIfTrue="1" operator="notBetween">
      <formula>$AO$27</formula>
      <formula>$AO$28</formula>
    </cfRule>
  </conditionalFormatting>
  <conditionalFormatting sqref="G10 G13 G19">
    <cfRule type="cellIs" dxfId="822" priority="535" stopIfTrue="1" operator="notBetween">
      <formula>$G$27</formula>
      <formula>$G$28</formula>
    </cfRule>
  </conditionalFormatting>
  <conditionalFormatting sqref="F23:F26 F9:F20">
    <cfRule type="expression" dxfId="821" priority="393" stopIfTrue="1">
      <formula>IF(F9&lt;&gt;G9,TRUE,FALSE)</formula>
    </cfRule>
  </conditionalFormatting>
  <conditionalFormatting sqref="G20 G14">
    <cfRule type="expression" dxfId="820" priority="2259" stopIfTrue="1">
      <formula>IF($G$9&lt;&gt;$F$9,TRUE,FALSE)</formula>
    </cfRule>
  </conditionalFormatting>
  <conditionalFormatting sqref="L16:L19">
    <cfRule type="cellIs" dxfId="819" priority="526" stopIfTrue="1" operator="notBetween">
      <formula>$L$27</formula>
      <formula>$L$28</formula>
    </cfRule>
  </conditionalFormatting>
  <conditionalFormatting sqref="I16:I19 I9:I10 I13">
    <cfRule type="cellIs" dxfId="818" priority="466" stopIfTrue="1" operator="notBetween">
      <formula>$I$27</formula>
      <formula>$I$28</formula>
    </cfRule>
  </conditionalFormatting>
  <conditionalFormatting sqref="K9:K13 K16:K19">
    <cfRule type="cellIs" dxfId="817" priority="465" stopIfTrue="1" operator="notBetween">
      <formula>$K$27</formula>
      <formula>$K$28</formula>
    </cfRule>
  </conditionalFormatting>
  <conditionalFormatting sqref="M9:M13 M16:M19">
    <cfRule type="cellIs" dxfId="816" priority="464" stopIfTrue="1" operator="notBetween">
      <formula>$M$27</formula>
      <formula>$M$28</formula>
    </cfRule>
  </conditionalFormatting>
  <conditionalFormatting sqref="W9:W13 W16:W19">
    <cfRule type="cellIs" dxfId="815" priority="445" stopIfTrue="1" operator="notBetween">
      <formula>$W$27</formula>
      <formula>$W$28</formula>
    </cfRule>
  </conditionalFormatting>
  <conditionalFormatting sqref="X9:X13 X16:X19">
    <cfRule type="cellIs" dxfId="814" priority="444" stopIfTrue="1" operator="notBetween">
      <formula>$X$27</formula>
      <formula>$X$28</formula>
    </cfRule>
  </conditionalFormatting>
  <conditionalFormatting sqref="Y9:Y13 Y16:Y19">
    <cfRule type="cellIs" dxfId="813" priority="443" stopIfTrue="1" operator="notBetween">
      <formula>$Y$27</formula>
      <formula>$Y$28</formula>
    </cfRule>
  </conditionalFormatting>
  <conditionalFormatting sqref="Z9:Z13 Z16:Z19">
    <cfRule type="cellIs" dxfId="812" priority="442" stopIfTrue="1" operator="notBetween">
      <formula>$Z$27</formula>
      <formula>$Z$28</formula>
    </cfRule>
  </conditionalFormatting>
  <conditionalFormatting sqref="AB9:AB13 AB16:AB19">
    <cfRule type="cellIs" dxfId="811" priority="441" stopIfTrue="1" operator="notBetween">
      <formula>$AB$27</formula>
      <formula>$AB$28</formula>
    </cfRule>
  </conditionalFormatting>
  <conditionalFormatting sqref="AC9:AC13 AC16:AC19">
    <cfRule type="cellIs" dxfId="810" priority="440" stopIfTrue="1" operator="notBetween">
      <formula>$AC$27</formula>
      <formula>$AC$28</formula>
    </cfRule>
  </conditionalFormatting>
  <conditionalFormatting sqref="AD9:AD13 AD16:AD19">
    <cfRule type="cellIs" dxfId="809" priority="438" stopIfTrue="1" operator="notBetween">
      <formula>$AD$27</formula>
      <formula>$AD$28</formula>
    </cfRule>
  </conditionalFormatting>
  <conditionalFormatting sqref="AE9:AE13 AE16:AE19">
    <cfRule type="cellIs" dxfId="808" priority="437" stopIfTrue="1" operator="notBetween">
      <formula>$AE$27</formula>
      <formula>$AE$28</formula>
    </cfRule>
  </conditionalFormatting>
  <conditionalFormatting sqref="AF9:AF13 AF16:AF19">
    <cfRule type="cellIs" dxfId="807" priority="436" stopIfTrue="1" operator="notBetween">
      <formula>$AF$27</formula>
      <formula>$AF$28</formula>
    </cfRule>
  </conditionalFormatting>
  <conditionalFormatting sqref="AG9:AG13 AG16:AG19">
    <cfRule type="cellIs" dxfId="806" priority="435" stopIfTrue="1" operator="notBetween">
      <formula>$AG$27</formula>
      <formula>$AG$28</formula>
    </cfRule>
  </conditionalFormatting>
  <conditionalFormatting sqref="AH9:AH13 AH16:AH19">
    <cfRule type="cellIs" dxfId="805" priority="434" stopIfTrue="1" operator="notBetween">
      <formula>$AH$27</formula>
      <formula>$AH$28</formula>
    </cfRule>
  </conditionalFormatting>
  <conditionalFormatting sqref="AI9:AI13 AI16:AI19">
    <cfRule type="cellIs" dxfId="804" priority="433" stopIfTrue="1" operator="notBetween">
      <formula>$AI$27</formula>
      <formula>$AI$28</formula>
    </cfRule>
  </conditionalFormatting>
  <conditionalFormatting sqref="AJ9:AJ13 AJ16:AJ19">
    <cfRule type="cellIs" dxfId="803" priority="432" stopIfTrue="1" operator="notBetween">
      <formula>$AJ$27</formula>
      <formula>$AJ$28</formula>
    </cfRule>
  </conditionalFormatting>
  <conditionalFormatting sqref="AK9:AK13 AK16:AK19">
    <cfRule type="cellIs" dxfId="802" priority="431" stopIfTrue="1" operator="notBetween">
      <formula>$AK$27</formula>
      <formula>$AK$28</formula>
    </cfRule>
  </conditionalFormatting>
  <conditionalFormatting sqref="AL9:AL13 AL16:AL19">
    <cfRule type="cellIs" dxfId="801" priority="430" stopIfTrue="1" operator="notBetween">
      <formula>$AL$27</formula>
      <formula>$AL$28</formula>
    </cfRule>
  </conditionalFormatting>
  <conditionalFormatting sqref="AM9:AM13 AM16:AM19">
    <cfRule type="cellIs" dxfId="800" priority="429" stopIfTrue="1" operator="notBetween">
      <formula>$AM$27</formula>
      <formula>$AM$28</formula>
    </cfRule>
  </conditionalFormatting>
  <conditionalFormatting sqref="AN9:AN13 AN16:AN19">
    <cfRule type="cellIs" dxfId="799" priority="428" stopIfTrue="1" operator="notBetween">
      <formula>$AN$27</formula>
      <formula>$AN$28</formula>
    </cfRule>
  </conditionalFormatting>
  <conditionalFormatting sqref="AP9:AP13 AP16:AP19">
    <cfRule type="cellIs" dxfId="798" priority="427" stopIfTrue="1" operator="notBetween">
      <formula>$AP$27</formula>
      <formula>$AP$28</formula>
    </cfRule>
  </conditionalFormatting>
  <conditionalFormatting sqref="AQ9:AQ13 AQ16:AQ19">
    <cfRule type="cellIs" dxfId="797" priority="426" stopIfTrue="1" operator="notBetween">
      <formula>$AQ$27</formula>
      <formula>$AQ$28</formula>
    </cfRule>
  </conditionalFormatting>
  <conditionalFormatting sqref="AR9:AR13 AR16:AR19">
    <cfRule type="cellIs" dxfId="796" priority="425" stopIfTrue="1" operator="notBetween">
      <formula>$AR$27</formula>
      <formula>$AR$28</formula>
    </cfRule>
  </conditionalFormatting>
  <conditionalFormatting sqref="AS9:AS13 AS16:AS19">
    <cfRule type="cellIs" dxfId="795" priority="424" stopIfTrue="1" operator="notBetween">
      <formula>$AS$27</formula>
      <formula>$AS$28</formula>
    </cfRule>
  </conditionalFormatting>
  <conditionalFormatting sqref="AT9:AT13 AT16:AT19">
    <cfRule type="cellIs" dxfId="794" priority="423" stopIfTrue="1" operator="notBetween">
      <formula>$AT$27</formula>
      <formula>$AT$28</formula>
    </cfRule>
  </conditionalFormatting>
  <conditionalFormatting sqref="AV9:AV13 AV16:AV19">
    <cfRule type="cellIs" dxfId="793" priority="422" stopIfTrue="1" operator="notBetween">
      <formula>$AV$27</formula>
      <formula>$AV$28</formula>
    </cfRule>
  </conditionalFormatting>
  <conditionalFormatting sqref="N9:N13 N16:N19">
    <cfRule type="cellIs" dxfId="792" priority="421" stopIfTrue="1" operator="notBetween">
      <formula>$N$27</formula>
      <formula>$N$28</formula>
    </cfRule>
  </conditionalFormatting>
  <conditionalFormatting sqref="O16:O19 O9:O13">
    <cfRule type="cellIs" dxfId="791" priority="420" stopIfTrue="1" operator="notBetween">
      <formula>$O$27</formula>
      <formula>$O$28</formula>
    </cfRule>
  </conditionalFormatting>
  <conditionalFormatting sqref="H9:H13 H16:H19">
    <cfRule type="cellIs" dxfId="790" priority="418" stopIfTrue="1" operator="notBetween">
      <formula>$H$27</formula>
      <formula>$H$28</formula>
    </cfRule>
  </conditionalFormatting>
  <conditionalFormatting sqref="P9:P13 P16:P19">
    <cfRule type="cellIs" dxfId="789" priority="416" stopIfTrue="1" operator="notBetween">
      <formula>$P$27</formula>
      <formula>$P$28</formula>
    </cfRule>
  </conditionalFormatting>
  <conditionalFormatting sqref="Q9:Q13 Q16:Q19">
    <cfRule type="cellIs" dxfId="788" priority="415" stopIfTrue="1" operator="notBetween">
      <formula>$Q$27</formula>
      <formula>$Q$28</formula>
    </cfRule>
  </conditionalFormatting>
  <conditionalFormatting sqref="R9:R13 R16:R19">
    <cfRule type="cellIs" dxfId="787" priority="414" stopIfTrue="1" operator="notBetween">
      <formula>$R$27</formula>
      <formula>$R$28</formula>
    </cfRule>
  </conditionalFormatting>
  <conditionalFormatting sqref="S9:S13 S16:S19">
    <cfRule type="cellIs" dxfId="786" priority="413" stopIfTrue="1" operator="notBetween">
      <formula>$S$27</formula>
      <formula>$S$28</formula>
    </cfRule>
  </conditionalFormatting>
  <conditionalFormatting sqref="F9:F13 F16:F19">
    <cfRule type="cellIs" dxfId="785" priority="2257" stopIfTrue="1" operator="notBetween">
      <formula>$F$27</formula>
      <formula>$F$28</formula>
    </cfRule>
  </conditionalFormatting>
  <conditionalFormatting sqref="AA9:AA13 AA16:AA19">
    <cfRule type="cellIs" dxfId="784" priority="388" stopIfTrue="1" operator="notBetween">
      <formula>$AA$27</formula>
      <formula>$AA$28</formula>
    </cfRule>
  </conditionalFormatting>
  <conditionalFormatting sqref="V9:V13 V16:V19">
    <cfRule type="cellIs" dxfId="783" priority="351" stopIfTrue="1" operator="notBetween">
      <formula>$V$27</formula>
      <formula>$V$28</formula>
    </cfRule>
  </conditionalFormatting>
  <conditionalFormatting sqref="I11">
    <cfRule type="cellIs" dxfId="782" priority="2551" stopIfTrue="1" operator="greaterThan">
      <formula>#REF!</formula>
    </cfRule>
    <cfRule type="cellIs" dxfId="781" priority="2552" stopIfTrue="1" operator="lessThan">
      <formula>#REF!</formula>
    </cfRule>
  </conditionalFormatting>
  <conditionalFormatting sqref="I12">
    <cfRule type="cellIs" dxfId="780" priority="2553" stopIfTrue="1" operator="greaterThan">
      <formula>#REF!</formula>
    </cfRule>
    <cfRule type="cellIs" dxfId="779" priority="2554" stopIfTrue="1" operator="lessThan">
      <formula>#REF!</formula>
    </cfRule>
  </conditionalFormatting>
  <conditionalFormatting sqref="T9">
    <cfRule type="cellIs" dxfId="778" priority="167" stopIfTrue="1" operator="greaterThan">
      <formula>$BU$9</formula>
    </cfRule>
    <cfRule type="cellIs" dxfId="777" priority="168" stopIfTrue="1" operator="lessThan">
      <formula>$BU$9</formula>
    </cfRule>
  </conditionalFormatting>
  <conditionalFormatting sqref="T10">
    <cfRule type="cellIs" dxfId="776" priority="163" stopIfTrue="1" operator="greaterThan">
      <formula>$BU$10</formula>
    </cfRule>
    <cfRule type="cellIs" dxfId="775" priority="164" stopIfTrue="1" operator="lessThan">
      <formula>$BU$10</formula>
    </cfRule>
  </conditionalFormatting>
  <conditionalFormatting sqref="T11">
    <cfRule type="cellIs" dxfId="774" priority="159" stopIfTrue="1" operator="greaterThan">
      <formula>$BU$11</formula>
    </cfRule>
    <cfRule type="cellIs" dxfId="773" priority="160" stopIfTrue="1" operator="lessThan">
      <formula>$BU$11</formula>
    </cfRule>
  </conditionalFormatting>
  <conditionalFormatting sqref="T12">
    <cfRule type="cellIs" dxfId="772" priority="157" stopIfTrue="1" operator="greaterThan">
      <formula>$BU$12</formula>
    </cfRule>
    <cfRule type="cellIs" dxfId="771" priority="158" stopIfTrue="1" operator="lessThan">
      <formula>$BU$12</formula>
    </cfRule>
  </conditionalFormatting>
  <conditionalFormatting sqref="T13">
    <cfRule type="cellIs" dxfId="770" priority="155" stopIfTrue="1" operator="greaterThan">
      <formula>$BU$13</formula>
    </cfRule>
    <cfRule type="cellIs" dxfId="769" priority="156" stopIfTrue="1" operator="lessThan">
      <formula>$BU$13</formula>
    </cfRule>
  </conditionalFormatting>
  <conditionalFormatting sqref="T16">
    <cfRule type="cellIs" dxfId="768" priority="143" stopIfTrue="1" operator="greaterThan">
      <formula>$BU$16</formula>
    </cfRule>
    <cfRule type="cellIs" dxfId="767" priority="144" stopIfTrue="1" operator="lessThan">
      <formula>$BU$16</formula>
    </cfRule>
  </conditionalFormatting>
  <conditionalFormatting sqref="T17">
    <cfRule type="cellIs" dxfId="766" priority="141" stopIfTrue="1" operator="greaterThan">
      <formula>$BU$17</formula>
    </cfRule>
    <cfRule type="cellIs" dxfId="765" priority="142" stopIfTrue="1" operator="lessThan">
      <formula>$BU$17</formula>
    </cfRule>
  </conditionalFormatting>
  <conditionalFormatting sqref="T18">
    <cfRule type="cellIs" dxfId="764" priority="139" stopIfTrue="1" operator="greaterThan">
      <formula>$BU$18</formula>
    </cfRule>
    <cfRule type="cellIs" dxfId="763" priority="140" stopIfTrue="1" operator="lessThan">
      <formula>$BU$18</formula>
    </cfRule>
  </conditionalFormatting>
  <conditionalFormatting sqref="T19">
    <cfRule type="cellIs" dxfId="762" priority="137" stopIfTrue="1" operator="greaterThan">
      <formula>$BU$19</formula>
    </cfRule>
    <cfRule type="cellIs" dxfId="761" priority="138" stopIfTrue="1" operator="lessThan">
      <formula>$BU$19</formula>
    </cfRule>
  </conditionalFormatting>
  <conditionalFormatting sqref="AU9:AU13 AU16:AU19">
    <cfRule type="cellIs" dxfId="760" priority="23" stopIfTrue="1" operator="notBetween">
      <formula>$AU$27</formula>
      <formula>$AU$28</formula>
    </cfRule>
  </conditionalFormatting>
  <conditionalFormatting sqref="AW15:AW19 AW9:AW13">
    <cfRule type="expression" dxfId="759" priority="4096" stopIfTrue="1">
      <formula>NOT(AND($AW9-ultimoDiaTrim&gt;=$AW$28,$AW9-ultimoDiaTrim&lt;=$AW$27))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10"/>
      <c r="I1" s="710"/>
      <c r="J1" s="710"/>
    </row>
    <row r="2" spans="1:18">
      <c r="A2" s="485"/>
      <c r="B2" s="485"/>
      <c r="C2" s="400"/>
      <c r="D2" s="400"/>
      <c r="E2" s="400"/>
      <c r="F2" s="400"/>
      <c r="G2" s="400"/>
      <c r="H2" s="711"/>
      <c r="I2" s="711"/>
      <c r="J2" s="711"/>
      <c r="K2" s="399"/>
      <c r="L2" s="399"/>
      <c r="M2" s="399"/>
      <c r="N2" s="399"/>
      <c r="O2" s="399"/>
      <c r="P2" s="399"/>
      <c r="Q2" s="399"/>
    </row>
    <row r="3" spans="1:18" s="716" customFormat="1" ht="18.75" thickBot="1">
      <c r="A3" s="712"/>
      <c r="B3" s="712"/>
      <c r="C3" s="713" t="s">
        <v>691</v>
      </c>
      <c r="D3" s="713"/>
      <c r="E3" s="713"/>
      <c r="F3" s="713"/>
      <c r="G3" s="713" t="str">
        <f xml:space="preserve"> "Año: " &amp; Año &amp; "  Trimestres " &amp; TrimIni &amp; " al " &amp; TrimFin</f>
        <v>Año: 2023  Trimestres 1 al 1</v>
      </c>
      <c r="H3" s="714"/>
      <c r="I3" s="714"/>
      <c r="J3" s="714"/>
      <c r="K3" s="715"/>
      <c r="L3" s="715"/>
      <c r="M3" s="715"/>
      <c r="N3" s="715"/>
      <c r="O3" s="715"/>
      <c r="P3" s="715"/>
      <c r="Q3" s="715"/>
    </row>
    <row r="4" spans="1:18" ht="42" customHeight="1" thickBot="1">
      <c r="A4" s="1711" t="s">
        <v>692</v>
      </c>
      <c r="B4" s="1711" t="s">
        <v>800</v>
      </c>
      <c r="C4" s="1711" t="s">
        <v>693</v>
      </c>
      <c r="D4" s="1711" t="s">
        <v>758</v>
      </c>
      <c r="E4" s="1713" t="s">
        <v>759</v>
      </c>
      <c r="F4" s="1711" t="s">
        <v>694</v>
      </c>
      <c r="G4" s="1713" t="s">
        <v>504</v>
      </c>
      <c r="H4" s="1706" t="s">
        <v>695</v>
      </c>
      <c r="I4" s="1706" t="s">
        <v>696</v>
      </c>
      <c r="J4" s="1706" t="s">
        <v>697</v>
      </c>
      <c r="K4" s="1708" t="s">
        <v>299</v>
      </c>
      <c r="L4" s="1709"/>
      <c r="M4" s="1709"/>
      <c r="N4" s="1710"/>
      <c r="O4" s="1708" t="s">
        <v>499</v>
      </c>
      <c r="P4" s="1709"/>
      <c r="Q4" s="1709"/>
      <c r="R4" s="1710"/>
    </row>
    <row r="5" spans="1:18" ht="27.75" customHeight="1" thickBot="1">
      <c r="A5" s="1712"/>
      <c r="B5" s="1712"/>
      <c r="C5" s="1712"/>
      <c r="D5" s="1712"/>
      <c r="E5" s="1712"/>
      <c r="F5" s="1712"/>
      <c r="G5" s="1712"/>
      <c r="H5" s="1707"/>
      <c r="I5" s="1707"/>
      <c r="J5" s="1707"/>
      <c r="K5" s="993" t="s">
        <v>500</v>
      </c>
      <c r="L5" s="993" t="s">
        <v>501</v>
      </c>
      <c r="M5" s="993" t="s">
        <v>502</v>
      </c>
      <c r="N5" s="993" t="s">
        <v>503</v>
      </c>
      <c r="O5" s="994" t="s">
        <v>500</v>
      </c>
      <c r="P5" s="993" t="s">
        <v>501</v>
      </c>
      <c r="Q5" s="993" t="s">
        <v>502</v>
      </c>
      <c r="R5" s="993" t="s">
        <v>503</v>
      </c>
    </row>
  </sheetData>
  <sheetProtection algorithmName="SHA-512" hashValue="qHURaT2KhguFDuLvmtxCA8tySihs2Q/hDWdk3GKMD5hU9Via5R/wMO9gWEOMW5VPFQt6bWeKAptvHlzzIV9hGw==" saltValue="B2TVsfz+RRxt59yyXF+xr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t="s">
        <v>283</v>
      </c>
      <c r="BO1" s="31" t="s">
        <v>284</v>
      </c>
      <c r="BP1" s="30" t="s">
        <v>285</v>
      </c>
      <c r="BQ1" s="52" t="s">
        <v>287</v>
      </c>
      <c r="BR1" s="31" t="s">
        <v>293</v>
      </c>
      <c r="BS1" s="30" t="s">
        <v>294</v>
      </c>
      <c r="BT1" s="52" t="s">
        <v>295</v>
      </c>
      <c r="BU1" s="31" t="s">
        <v>309</v>
      </c>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CORDOBA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t="s">
        <v>223</v>
      </c>
      <c r="BO5" s="1465"/>
      <c r="BP5" s="1464" t="s">
        <v>224</v>
      </c>
      <c r="BQ5" s="1465"/>
      <c r="BR5" s="1464" t="s">
        <v>225</v>
      </c>
      <c r="BS5" s="1465"/>
      <c r="BT5" s="1464" t="s">
        <v>226</v>
      </c>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823</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t="s">
        <v>183</v>
      </c>
      <c r="BO6" s="1462" t="s">
        <v>184</v>
      </c>
      <c r="BP6" s="1462" t="s">
        <v>183</v>
      </c>
      <c r="BQ6" s="1462" t="s">
        <v>184</v>
      </c>
      <c r="BR6" s="1462" t="s">
        <v>183</v>
      </c>
      <c r="BS6" s="1462" t="s">
        <v>184</v>
      </c>
      <c r="BT6" s="1462" t="s">
        <v>183</v>
      </c>
      <c r="BU6" s="1462" t="s">
        <v>184</v>
      </c>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52" t="s">
        <v>819</v>
      </c>
      <c r="ER8" s="52" t="s">
        <v>824</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c r="J9" s="186"/>
      <c r="K9" s="186"/>
      <c r="L9" s="186"/>
      <c r="M9" s="186"/>
      <c r="N9" s="186"/>
      <c r="O9" s="186"/>
      <c r="P9" s="186"/>
      <c r="Q9" s="186"/>
      <c r="R9" s="186"/>
      <c r="S9" s="186"/>
      <c r="T9" s="186"/>
      <c r="U9" s="186"/>
      <c r="V9" s="186"/>
      <c r="W9" s="186"/>
      <c r="X9" s="193"/>
      <c r="Y9" s="196"/>
      <c r="Z9" s="186"/>
      <c r="AA9" s="186"/>
      <c r="AB9" s="186"/>
      <c r="AC9" s="186"/>
      <c r="AD9" s="186"/>
      <c r="AE9" s="186"/>
      <c r="AF9" s="193"/>
      <c r="AG9" s="196"/>
      <c r="AH9" s="186"/>
      <c r="AI9" s="186"/>
      <c r="AJ9" s="197"/>
      <c r="AK9" s="185"/>
      <c r="AL9" s="186"/>
      <c r="AM9" s="186"/>
      <c r="AN9" s="193"/>
      <c r="AO9" s="263"/>
      <c r="AP9" s="159"/>
      <c r="AQ9" s="159"/>
      <c r="AR9" s="198"/>
      <c r="AS9" s="348"/>
      <c r="AT9" s="200"/>
      <c r="AU9" s="199"/>
      <c r="AV9" s="200"/>
      <c r="AW9" s="199"/>
      <c r="AX9" s="200"/>
      <c r="AY9" s="125"/>
      <c r="AZ9" s="125"/>
      <c r="BA9" s="126"/>
      <c r="BB9" s="126"/>
      <c r="BC9" s="127"/>
      <c r="BD9" s="128"/>
      <c r="BE9" s="129"/>
      <c r="BF9" s="129"/>
      <c r="BG9" s="201"/>
      <c r="BH9" s="159"/>
      <c r="BI9" s="159"/>
      <c r="BJ9" s="199"/>
      <c r="BK9" s="159"/>
      <c r="BL9" s="159"/>
      <c r="BM9" s="159"/>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c r="CO9" s="161"/>
      <c r="CP9" s="161"/>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1137"/>
      <c r="EP9" s="1137"/>
      <c r="EQ9" s="1137"/>
      <c r="ER9" s="1137"/>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c r="J10" s="186"/>
      <c r="K10" s="186"/>
      <c r="L10" s="186"/>
      <c r="M10" s="186"/>
      <c r="N10" s="186"/>
      <c r="O10" s="186"/>
      <c r="P10" s="186"/>
      <c r="Q10" s="186"/>
      <c r="R10" s="186"/>
      <c r="S10" s="186"/>
      <c r="T10" s="186"/>
      <c r="U10" s="186"/>
      <c r="V10" s="186"/>
      <c r="W10" s="186"/>
      <c r="X10" s="193"/>
      <c r="Y10" s="202"/>
      <c r="Z10" s="203"/>
      <c r="AA10" s="204"/>
      <c r="AB10" s="203"/>
      <c r="AC10" s="186"/>
      <c r="AD10" s="186"/>
      <c r="AE10" s="186"/>
      <c r="AF10" s="193"/>
      <c r="AG10" s="196"/>
      <c r="AH10" s="186"/>
      <c r="AI10" s="186"/>
      <c r="AJ10" s="197"/>
      <c r="AK10" s="185"/>
      <c r="AL10" s="186"/>
      <c r="AM10" s="186"/>
      <c r="AN10" s="193"/>
      <c r="AO10" s="263"/>
      <c r="AP10" s="160"/>
      <c r="AQ10" s="159"/>
      <c r="AR10" s="160"/>
      <c r="AS10" s="349"/>
      <c r="AT10" s="197"/>
      <c r="AU10" s="205"/>
      <c r="AV10" s="197"/>
      <c r="AW10" s="205"/>
      <c r="AX10" s="197"/>
      <c r="AY10" s="130"/>
      <c r="AZ10" s="131"/>
      <c r="BA10" s="131"/>
      <c r="BB10" s="131"/>
      <c r="BC10" s="127"/>
      <c r="BD10" s="128"/>
      <c r="BE10" s="129"/>
      <c r="BF10" s="129"/>
      <c r="BG10" s="201"/>
      <c r="BH10" s="160"/>
      <c r="BI10" s="160"/>
      <c r="BJ10" s="206"/>
      <c r="BK10" s="159"/>
      <c r="BL10" s="159"/>
      <c r="BM10" s="159"/>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c r="CO10" s="159"/>
      <c r="CP10" s="159"/>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327"/>
      <c r="EP10" s="327"/>
      <c r="EQ10" s="327"/>
      <c r="ER10" s="327"/>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c r="J11" s="188"/>
      <c r="K11" s="188"/>
      <c r="L11" s="188"/>
      <c r="M11" s="188"/>
      <c r="N11" s="188"/>
      <c r="O11" s="186"/>
      <c r="P11" s="188"/>
      <c r="Q11" s="188"/>
      <c r="R11" s="188"/>
      <c r="S11" s="188"/>
      <c r="T11" s="188"/>
      <c r="U11" s="188"/>
      <c r="V11" s="188"/>
      <c r="W11" s="188"/>
      <c r="X11" s="194"/>
      <c r="Y11" s="196"/>
      <c r="Z11" s="186"/>
      <c r="AA11" s="186"/>
      <c r="AB11" s="186"/>
      <c r="AC11" s="188"/>
      <c r="AD11" s="188"/>
      <c r="AE11" s="188"/>
      <c r="AF11" s="194"/>
      <c r="AG11" s="207"/>
      <c r="AH11" s="188"/>
      <c r="AI11" s="188"/>
      <c r="AJ11" s="208"/>
      <c r="AK11" s="187"/>
      <c r="AL11" s="188"/>
      <c r="AM11" s="188"/>
      <c r="AN11" s="194"/>
      <c r="AO11" s="264"/>
      <c r="AP11" s="160"/>
      <c r="AQ11" s="160"/>
      <c r="AR11" s="159"/>
      <c r="AS11" s="350"/>
      <c r="AT11" s="208"/>
      <c r="AU11" s="207"/>
      <c r="AV11" s="208"/>
      <c r="AW11" s="207"/>
      <c r="AX11" s="208"/>
      <c r="AY11" s="128"/>
      <c r="AZ11" s="129"/>
      <c r="BA11" s="129"/>
      <c r="BB11" s="129"/>
      <c r="BC11" s="127"/>
      <c r="BD11" s="128"/>
      <c r="BE11" s="129"/>
      <c r="BF11" s="129"/>
      <c r="BG11" s="201"/>
      <c r="BH11" s="160"/>
      <c r="BI11" s="160"/>
      <c r="BJ11" s="207"/>
      <c r="BK11" s="160"/>
      <c r="BL11" s="160"/>
      <c r="BM11" s="160"/>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c r="CO11" s="162"/>
      <c r="CP11" s="161"/>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1136"/>
      <c r="EP11" s="1136"/>
      <c r="EQ11" s="1136"/>
      <c r="ER11" s="1136"/>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c r="J12" s="188"/>
      <c r="K12" s="188"/>
      <c r="L12" s="188"/>
      <c r="M12" s="188"/>
      <c r="N12" s="188"/>
      <c r="O12" s="186"/>
      <c r="P12" s="188"/>
      <c r="Q12" s="188"/>
      <c r="R12" s="188"/>
      <c r="S12" s="188"/>
      <c r="T12" s="188"/>
      <c r="U12" s="188"/>
      <c r="V12" s="188"/>
      <c r="W12" s="188"/>
      <c r="X12" s="194"/>
      <c r="Y12" s="196"/>
      <c r="Z12" s="186"/>
      <c r="AA12" s="186"/>
      <c r="AB12" s="186"/>
      <c r="AC12" s="188"/>
      <c r="AD12" s="188"/>
      <c r="AE12" s="188"/>
      <c r="AF12" s="194"/>
      <c r="AG12" s="207"/>
      <c r="AH12" s="188"/>
      <c r="AI12" s="188"/>
      <c r="AJ12" s="208"/>
      <c r="AK12" s="187"/>
      <c r="AL12" s="188"/>
      <c r="AM12" s="188"/>
      <c r="AN12" s="194"/>
      <c r="AO12" s="264"/>
      <c r="AP12" s="160"/>
      <c r="AQ12" s="160"/>
      <c r="AR12" s="159"/>
      <c r="AS12" s="350"/>
      <c r="AT12" s="208"/>
      <c r="AU12" s="207"/>
      <c r="AV12" s="208"/>
      <c r="AW12" s="207"/>
      <c r="AX12" s="208"/>
      <c r="AY12" s="128"/>
      <c r="AZ12" s="129"/>
      <c r="BA12" s="129"/>
      <c r="BB12" s="129"/>
      <c r="BC12" s="127"/>
      <c r="BD12" s="128"/>
      <c r="BE12" s="129"/>
      <c r="BF12" s="129"/>
      <c r="BG12" s="201"/>
      <c r="BH12" s="160"/>
      <c r="BI12" s="160"/>
      <c r="BJ12" s="207"/>
      <c r="BK12" s="160"/>
      <c r="BL12" s="160"/>
      <c r="BM12" s="160"/>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c r="CO12" s="162"/>
      <c r="CP12" s="161"/>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1138"/>
      <c r="EP12" s="1138"/>
      <c r="EQ12" s="1138"/>
      <c r="ER12" s="1138"/>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c r="J13" s="188"/>
      <c r="K13" s="188"/>
      <c r="L13" s="188"/>
      <c r="M13" s="188"/>
      <c r="N13" s="188"/>
      <c r="O13" s="188"/>
      <c r="P13" s="188"/>
      <c r="Q13" s="188"/>
      <c r="R13" s="188"/>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c r="AP13" s="160"/>
      <c r="AQ13" s="160"/>
      <c r="AR13" s="160"/>
      <c r="AS13" s="350"/>
      <c r="AT13" s="208"/>
      <c r="AU13" s="207"/>
      <c r="AV13" s="208"/>
      <c r="AW13" s="207"/>
      <c r="AX13" s="208"/>
      <c r="AY13" s="130"/>
      <c r="AZ13" s="131"/>
      <c r="BA13" s="131"/>
      <c r="BB13" s="131"/>
      <c r="BC13" s="127"/>
      <c r="BD13" s="128"/>
      <c r="BE13" s="129"/>
      <c r="BF13" s="129"/>
      <c r="BG13" s="201"/>
      <c r="BH13" s="160"/>
      <c r="BI13" s="160"/>
      <c r="BJ13" s="207"/>
      <c r="BK13" s="160"/>
      <c r="BL13" s="160"/>
      <c r="BM13" s="160"/>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c r="CO13" s="162"/>
      <c r="CP13" s="162"/>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35"/>
      <c r="EP13" s="1135"/>
      <c r="EQ13" s="1135"/>
      <c r="ER13" s="1135"/>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0">SUBTOTAL(9,I8:I13)</f>
        <v>0</v>
      </c>
      <c r="J14" s="189">
        <f t="shared" si="0"/>
        <v>0</v>
      </c>
      <c r="K14" s="189">
        <f t="shared" si="0"/>
        <v>0</v>
      </c>
      <c r="L14" s="189">
        <f t="shared" si="0"/>
        <v>0</v>
      </c>
      <c r="M14" s="189">
        <f t="shared" si="0"/>
        <v>0</v>
      </c>
      <c r="N14" s="189">
        <f t="shared" si="0"/>
        <v>0</v>
      </c>
      <c r="O14" s="189">
        <f t="shared" si="0"/>
        <v>0</v>
      </c>
      <c r="P14" s="189">
        <f t="shared" si="0"/>
        <v>0</v>
      </c>
      <c r="Q14" s="189">
        <f t="shared" si="0"/>
        <v>0</v>
      </c>
      <c r="R14" s="189">
        <f t="shared" si="0"/>
        <v>0</v>
      </c>
      <c r="S14" s="189">
        <f t="shared" si="0"/>
        <v>0</v>
      </c>
      <c r="T14" s="189">
        <f t="shared" si="0"/>
        <v>0</v>
      </c>
      <c r="U14" s="189">
        <f t="shared" si="0"/>
        <v>0</v>
      </c>
      <c r="V14" s="189">
        <f t="shared" si="0"/>
        <v>0</v>
      </c>
      <c r="W14" s="189">
        <f t="shared" si="0"/>
        <v>0</v>
      </c>
      <c r="X14" s="189">
        <f t="shared" si="0"/>
        <v>0</v>
      </c>
      <c r="Y14" s="189">
        <f t="shared" si="0"/>
        <v>0</v>
      </c>
      <c r="Z14" s="189">
        <f t="shared" si="0"/>
        <v>0</v>
      </c>
      <c r="AA14" s="189">
        <f t="shared" si="0"/>
        <v>0</v>
      </c>
      <c r="AB14" s="189">
        <f t="shared" si="0"/>
        <v>0</v>
      </c>
      <c r="AC14" s="189">
        <f t="shared" si="0"/>
        <v>0</v>
      </c>
      <c r="AD14" s="189">
        <f t="shared" si="0"/>
        <v>0</v>
      </c>
      <c r="AE14" s="189">
        <f t="shared" si="0"/>
        <v>0</v>
      </c>
      <c r="AF14" s="189">
        <f>SUBTOTAL(9,AF9:AF13)</f>
        <v>0</v>
      </c>
      <c r="AG14" s="189">
        <f t="shared" ref="AG14:AT14" si="1">SUBTOTAL(9,AG8:AG13)</f>
        <v>0</v>
      </c>
      <c r="AH14" s="189">
        <f t="shared" si="1"/>
        <v>0</v>
      </c>
      <c r="AI14" s="189">
        <f t="shared" si="1"/>
        <v>0</v>
      </c>
      <c r="AJ14" s="189">
        <f t="shared" si="1"/>
        <v>0</v>
      </c>
      <c r="AK14" s="189">
        <f t="shared" si="1"/>
        <v>0</v>
      </c>
      <c r="AL14" s="189">
        <f t="shared" si="1"/>
        <v>0</v>
      </c>
      <c r="AM14" s="189">
        <f t="shared" si="1"/>
        <v>0</v>
      </c>
      <c r="AN14" s="189">
        <f t="shared" si="1"/>
        <v>0</v>
      </c>
      <c r="AO14" s="189">
        <f t="shared" si="1"/>
        <v>0</v>
      </c>
      <c r="AP14" s="189">
        <f t="shared" si="1"/>
        <v>0</v>
      </c>
      <c r="AQ14" s="189">
        <f t="shared" si="1"/>
        <v>0</v>
      </c>
      <c r="AR14" s="189">
        <f t="shared" si="1"/>
        <v>0</v>
      </c>
      <c r="AS14" s="189">
        <f t="shared" si="1"/>
        <v>0</v>
      </c>
      <c r="AT14" s="189">
        <f t="shared" si="1"/>
        <v>0</v>
      </c>
      <c r="AU14" s="209"/>
      <c r="AV14" s="134"/>
      <c r="AW14" s="209"/>
      <c r="AX14" s="134"/>
      <c r="AY14" s="189">
        <f>SUBTOTAL(9,AY8:AY13)</f>
        <v>0</v>
      </c>
      <c r="AZ14" s="189">
        <f>SUBTOTAL(9,AZ8:AZ13)</f>
        <v>0</v>
      </c>
      <c r="BA14" s="189">
        <f>SUBTOTAL(9,BA8:BA13)</f>
        <v>0</v>
      </c>
      <c r="BB14" s="189">
        <f>SUBTOTAL(9,BB8:BB13)</f>
        <v>0</v>
      </c>
      <c r="BC14" s="189">
        <f>SUBTOTAL(9,BC8:BC13)</f>
        <v>0</v>
      </c>
      <c r="BD14" s="210" t="str">
        <f>IF(ISNUMBER(BA14/AZ14),BA14/AZ14," - ")</f>
        <v xml:space="preserve"> - </v>
      </c>
      <c r="BE14" s="211" t="str">
        <f>IF(ISNUMBER(BB14/BA14),BB14/BA14, " - ")</f>
        <v xml:space="preserve"> - </v>
      </c>
      <c r="BF14" s="211" t="str">
        <f>IF(ISNUMBER(BC14/BA14),BC14/BA14, " - ")</f>
        <v xml:space="preserve"> - </v>
      </c>
      <c r="BG14" s="212" t="str">
        <f>IF(ISNUMBER((AY14+AZ14)/BA14),(AY14+AZ14)/BA14," - ")</f>
        <v xml:space="preserve"> - </v>
      </c>
      <c r="BH14" s="145">
        <f>SUBTOTAL(9,BH8:BH13)</f>
        <v>0</v>
      </c>
      <c r="BI14" s="145">
        <f>SUBTOTAL(9,BI8:BI13)</f>
        <v>0</v>
      </c>
      <c r="BJ14" s="145">
        <f>SUBTOTAL(9,BJ8:BJ13)</f>
        <v>0</v>
      </c>
      <c r="BK14" s="145">
        <f>SUBTOTAL(9,BK8:BK13)</f>
        <v>0</v>
      </c>
      <c r="BL14" s="145">
        <f>SUBTOTAL(9,BL8:BL13)</f>
        <v>0</v>
      </c>
      <c r="BM14" s="145" t="e">
        <f>AVERAGE(BM8:BM13)</f>
        <v>#DIV/0!</v>
      </c>
      <c r="BN14" s="156"/>
      <c r="BO14" s="156"/>
      <c r="BP14" s="156"/>
      <c r="BQ14" s="156"/>
      <c r="BR14" s="156"/>
      <c r="BS14" s="156"/>
      <c r="BT14" s="156"/>
      <c r="BU14" s="156"/>
      <c r="BV14" s="145"/>
      <c r="BW14" s="145"/>
      <c r="BX14" s="145"/>
      <c r="BY14" s="156"/>
      <c r="BZ14" s="156"/>
      <c r="CA14" s="145">
        <f t="shared" ref="CA14:CL14" si="2">SUBTOTAL(9,CA8:CA13)</f>
        <v>0</v>
      </c>
      <c r="CB14" s="145">
        <f t="shared" si="2"/>
        <v>0</v>
      </c>
      <c r="CC14" s="145">
        <f t="shared" si="2"/>
        <v>0</v>
      </c>
      <c r="CD14" s="145">
        <f t="shared" si="2"/>
        <v>0</v>
      </c>
      <c r="CE14" s="145">
        <f t="shared" si="2"/>
        <v>0</v>
      </c>
      <c r="CF14" s="145">
        <f t="shared" si="2"/>
        <v>0</v>
      </c>
      <c r="CG14" s="145">
        <f t="shared" si="2"/>
        <v>0</v>
      </c>
      <c r="CH14" s="145">
        <f t="shared" si="2"/>
        <v>0</v>
      </c>
      <c r="CI14" s="145">
        <f t="shared" si="2"/>
        <v>0</v>
      </c>
      <c r="CJ14" s="145">
        <f t="shared" si="2"/>
        <v>0</v>
      </c>
      <c r="CK14" s="145">
        <f t="shared" si="2"/>
        <v>0</v>
      </c>
      <c r="CL14" s="145">
        <f t="shared" si="2"/>
        <v>0</v>
      </c>
      <c r="CM14" s="145"/>
      <c r="CN14" s="156" t="e">
        <f>AVERAGE(CN8:CN13)</f>
        <v>#DIV/0!</v>
      </c>
      <c r="CO14" s="156"/>
      <c r="CP14" s="156"/>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 t="shared" ref="EL14:ES14" si="3">SUBTOTAL(9,EL8:EL13)</f>
        <v>0</v>
      </c>
      <c r="EM14" s="145">
        <f t="shared" si="3"/>
        <v>0</v>
      </c>
      <c r="EN14" s="145">
        <f t="shared" si="3"/>
        <v>0</v>
      </c>
      <c r="EO14" s="145">
        <f t="shared" si="3"/>
        <v>0</v>
      </c>
      <c r="EP14" s="145">
        <f t="shared" si="3"/>
        <v>0</v>
      </c>
      <c r="EQ14" s="145">
        <f t="shared" si="3"/>
        <v>0</v>
      </c>
      <c r="ER14" s="145">
        <f t="shared" si="3"/>
        <v>0</v>
      </c>
      <c r="ES14" s="156">
        <f t="shared" si="3"/>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324"/>
      <c r="EP15" s="324"/>
      <c r="EQ15" s="324"/>
      <c r="ER15" s="324"/>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c r="J16" s="188"/>
      <c r="K16" s="188"/>
      <c r="L16" s="188"/>
      <c r="M16" s="188"/>
      <c r="N16" s="188"/>
      <c r="O16" s="186"/>
      <c r="P16" s="188"/>
      <c r="Q16" s="188"/>
      <c r="R16" s="188"/>
      <c r="S16" s="188"/>
      <c r="T16" s="188"/>
      <c r="U16" s="188"/>
      <c r="V16" s="188"/>
      <c r="W16" s="188"/>
      <c r="X16" s="194"/>
      <c r="Y16" s="207"/>
      <c r="Z16" s="188"/>
      <c r="AA16" s="188"/>
      <c r="AB16" s="188"/>
      <c r="AC16" s="188"/>
      <c r="AD16" s="188"/>
      <c r="AE16" s="188"/>
      <c r="AF16" s="194"/>
      <c r="AG16" s="207"/>
      <c r="AH16" s="188"/>
      <c r="AI16" s="188"/>
      <c r="AJ16" s="208"/>
      <c r="AK16" s="187"/>
      <c r="AL16" s="188"/>
      <c r="AM16" s="188"/>
      <c r="AN16" s="194"/>
      <c r="AO16" s="264"/>
      <c r="AP16" s="160"/>
      <c r="AQ16" s="160"/>
      <c r="AR16" s="160"/>
      <c r="AS16" s="350"/>
      <c r="AT16" s="208"/>
      <c r="AU16" s="207"/>
      <c r="AV16" s="208"/>
      <c r="AW16" s="207"/>
      <c r="AX16" s="208"/>
      <c r="AY16" s="130"/>
      <c r="AZ16" s="131"/>
      <c r="BA16" s="131"/>
      <c r="BB16" s="131"/>
      <c r="BC16" s="127"/>
      <c r="BD16" s="128"/>
      <c r="BE16" s="129"/>
      <c r="BF16" s="129"/>
      <c r="BG16" s="201"/>
      <c r="BH16" s="160"/>
      <c r="BI16" s="160"/>
      <c r="BJ16" s="207"/>
      <c r="BK16" s="160"/>
      <c r="BL16" s="160"/>
      <c r="BM16" s="160"/>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c r="CO16" s="160"/>
      <c r="CP16" s="160"/>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1136"/>
      <c r="EP16" s="1136"/>
      <c r="EQ16" s="1136"/>
      <c r="ER16" s="1136"/>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c r="J17" s="188"/>
      <c r="K17" s="188"/>
      <c r="L17" s="188"/>
      <c r="M17" s="188"/>
      <c r="N17" s="188"/>
      <c r="O17" s="186"/>
      <c r="P17" s="188"/>
      <c r="Q17" s="188"/>
      <c r="R17" s="188"/>
      <c r="S17" s="188"/>
      <c r="T17" s="188"/>
      <c r="U17" s="188"/>
      <c r="V17" s="188"/>
      <c r="W17" s="188"/>
      <c r="X17" s="194"/>
      <c r="Y17" s="207"/>
      <c r="Z17" s="188"/>
      <c r="AA17" s="188"/>
      <c r="AB17" s="188"/>
      <c r="AC17" s="188"/>
      <c r="AD17" s="188"/>
      <c r="AE17" s="188"/>
      <c r="AF17" s="194"/>
      <c r="AG17" s="207"/>
      <c r="AH17" s="188"/>
      <c r="AI17" s="188"/>
      <c r="AJ17" s="208"/>
      <c r="AK17" s="187"/>
      <c r="AL17" s="188"/>
      <c r="AM17" s="188"/>
      <c r="AN17" s="194"/>
      <c r="AO17" s="264"/>
      <c r="AP17" s="160"/>
      <c r="AQ17" s="160"/>
      <c r="AR17" s="160"/>
      <c r="AS17" s="350"/>
      <c r="AT17" s="208"/>
      <c r="AU17" s="207"/>
      <c r="AV17" s="208"/>
      <c r="AW17" s="207"/>
      <c r="AX17" s="208"/>
      <c r="AY17" s="128"/>
      <c r="AZ17" s="129"/>
      <c r="BA17" s="129"/>
      <c r="BB17" s="129"/>
      <c r="BC17" s="127"/>
      <c r="BD17" s="128"/>
      <c r="BE17" s="129"/>
      <c r="BF17" s="129"/>
      <c r="BG17" s="201"/>
      <c r="BH17" s="160"/>
      <c r="BI17" s="160"/>
      <c r="BJ17" s="207"/>
      <c r="BK17" s="160"/>
      <c r="BL17" s="160"/>
      <c r="BM17" s="160"/>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c r="CO17" s="162"/>
      <c r="CP17" s="160"/>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1136"/>
      <c r="EP17" s="1136"/>
      <c r="EQ17" s="1136"/>
      <c r="ER17" s="1136"/>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c r="J18" s="188"/>
      <c r="K18" s="188"/>
      <c r="L18" s="188"/>
      <c r="M18" s="188"/>
      <c r="N18" s="188"/>
      <c r="O18" s="188"/>
      <c r="P18" s="188"/>
      <c r="Q18" s="188"/>
      <c r="R18" s="188"/>
      <c r="S18" s="188"/>
      <c r="T18" s="188"/>
      <c r="U18" s="188"/>
      <c r="V18" s="188"/>
      <c r="W18" s="188"/>
      <c r="X18" s="194"/>
      <c r="Y18" s="207"/>
      <c r="Z18" s="188"/>
      <c r="AA18" s="188"/>
      <c r="AB18" s="188"/>
      <c r="AC18" s="188"/>
      <c r="AD18" s="188"/>
      <c r="AE18" s="188"/>
      <c r="AF18" s="194"/>
      <c r="AG18" s="207"/>
      <c r="AH18" s="188"/>
      <c r="AI18" s="188"/>
      <c r="AJ18" s="208"/>
      <c r="AK18" s="187"/>
      <c r="AL18" s="188"/>
      <c r="AM18" s="188"/>
      <c r="AN18" s="194"/>
      <c r="AO18" s="264"/>
      <c r="AP18" s="160"/>
      <c r="AQ18" s="159"/>
      <c r="AR18" s="160"/>
      <c r="AS18" s="349"/>
      <c r="AT18" s="214"/>
      <c r="AU18" s="205"/>
      <c r="AV18" s="214"/>
      <c r="AW18" s="205"/>
      <c r="AX18" s="214"/>
      <c r="AY18" s="130"/>
      <c r="AZ18" s="131"/>
      <c r="BA18" s="131"/>
      <c r="BB18" s="131"/>
      <c r="BC18" s="127"/>
      <c r="BD18" s="128"/>
      <c r="BE18" s="129"/>
      <c r="BF18" s="129"/>
      <c r="BG18" s="201"/>
      <c r="BH18" s="160"/>
      <c r="BI18" s="160"/>
      <c r="BJ18" s="205"/>
      <c r="BK18" s="159"/>
      <c r="BL18" s="159"/>
      <c r="BM18" s="159"/>
      <c r="BN18" s="159"/>
      <c r="BO18" s="159"/>
      <c r="BP18" s="159"/>
      <c r="BQ18" s="159"/>
      <c r="BR18" s="159"/>
      <c r="BS18" s="159"/>
      <c r="BT18" s="159"/>
      <c r="BU18" s="159"/>
      <c r="BV18" s="159"/>
      <c r="BW18" s="159"/>
      <c r="BX18" s="159"/>
      <c r="BY18" s="179"/>
      <c r="BZ18" s="179"/>
      <c r="CA18" s="159"/>
      <c r="CB18" s="159"/>
      <c r="CC18" s="159"/>
      <c r="CD18" s="159"/>
      <c r="CE18" s="159"/>
      <c r="CF18" s="159"/>
      <c r="CG18" s="159"/>
      <c r="CH18" s="159"/>
      <c r="CI18" s="159"/>
      <c r="CJ18" s="159"/>
      <c r="CK18" s="159"/>
      <c r="CL18" s="159"/>
      <c r="CM18" s="159"/>
      <c r="CN18" s="159"/>
      <c r="CO18" s="159"/>
      <c r="CP18" s="159"/>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327"/>
      <c r="EP18" s="327"/>
      <c r="EQ18" s="327"/>
      <c r="ER18" s="327"/>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c r="J19" s="188"/>
      <c r="K19" s="188"/>
      <c r="L19" s="188"/>
      <c r="M19" s="188"/>
      <c r="N19" s="188"/>
      <c r="O19" s="188"/>
      <c r="P19" s="188"/>
      <c r="Q19" s="188"/>
      <c r="R19" s="188"/>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c r="AP19" s="160"/>
      <c r="AQ19" s="160"/>
      <c r="AR19" s="160"/>
      <c r="AS19" s="350"/>
      <c r="AT19" s="208"/>
      <c r="AU19" s="207"/>
      <c r="AV19" s="208"/>
      <c r="AW19" s="207"/>
      <c r="AX19" s="208"/>
      <c r="AY19" s="130"/>
      <c r="AZ19" s="131"/>
      <c r="BA19" s="131"/>
      <c r="BB19" s="131"/>
      <c r="BC19" s="127"/>
      <c r="BD19" s="128"/>
      <c r="BE19" s="129"/>
      <c r="BF19" s="129"/>
      <c r="BG19" s="201"/>
      <c r="BH19" s="160"/>
      <c r="BI19" s="160"/>
      <c r="BJ19" s="207"/>
      <c r="BK19" s="160"/>
      <c r="BL19" s="160"/>
      <c r="BM19" s="160"/>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c r="CO19" s="162"/>
      <c r="CP19" s="162"/>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36"/>
      <c r="EP19" s="1136"/>
      <c r="EQ19" s="1136"/>
      <c r="ER19" s="1136"/>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4">SUBTOTAL(9,I15:I19)</f>
        <v>0</v>
      </c>
      <c r="J20" s="189">
        <f t="shared" si="4"/>
        <v>0</v>
      </c>
      <c r="K20" s="189">
        <f t="shared" si="4"/>
        <v>0</v>
      </c>
      <c r="L20" s="189">
        <f t="shared" si="4"/>
        <v>0</v>
      </c>
      <c r="M20" s="189">
        <f t="shared" si="4"/>
        <v>0</v>
      </c>
      <c r="N20" s="189">
        <f t="shared" si="4"/>
        <v>0</v>
      </c>
      <c r="O20" s="189">
        <f t="shared" si="4"/>
        <v>0</v>
      </c>
      <c r="P20" s="189">
        <f t="shared" si="4"/>
        <v>0</v>
      </c>
      <c r="Q20" s="189">
        <f t="shared" si="4"/>
        <v>0</v>
      </c>
      <c r="R20" s="189">
        <f t="shared" si="4"/>
        <v>0</v>
      </c>
      <c r="S20" s="189">
        <f t="shared" si="4"/>
        <v>0</v>
      </c>
      <c r="T20" s="189">
        <f t="shared" si="4"/>
        <v>0</v>
      </c>
      <c r="U20" s="189">
        <f t="shared" si="4"/>
        <v>0</v>
      </c>
      <c r="V20" s="189">
        <f t="shared" si="4"/>
        <v>0</v>
      </c>
      <c r="W20" s="189">
        <f t="shared" si="4"/>
        <v>0</v>
      </c>
      <c r="X20" s="189">
        <f t="shared" si="4"/>
        <v>0</v>
      </c>
      <c r="Y20" s="189">
        <f t="shared" si="4"/>
        <v>0</v>
      </c>
      <c r="Z20" s="189">
        <f t="shared" si="4"/>
        <v>0</v>
      </c>
      <c r="AA20" s="189">
        <f t="shared" si="4"/>
        <v>0</v>
      </c>
      <c r="AB20" s="189">
        <f t="shared" si="4"/>
        <v>0</v>
      </c>
      <c r="AC20" s="189">
        <f t="shared" si="4"/>
        <v>0</v>
      </c>
      <c r="AD20" s="189">
        <f t="shared" si="4"/>
        <v>0</v>
      </c>
      <c r="AE20" s="189">
        <f t="shared" si="4"/>
        <v>0</v>
      </c>
      <c r="AF20" s="189">
        <f t="shared" si="4"/>
        <v>0</v>
      </c>
      <c r="AG20" s="189">
        <f t="shared" si="4"/>
        <v>0</v>
      </c>
      <c r="AH20" s="189">
        <f t="shared" si="4"/>
        <v>0</v>
      </c>
      <c r="AI20" s="189">
        <f t="shared" si="4"/>
        <v>0</v>
      </c>
      <c r="AJ20" s="189">
        <f t="shared" si="4"/>
        <v>0</v>
      </c>
      <c r="AK20" s="189">
        <f t="shared" si="4"/>
        <v>0</v>
      </c>
      <c r="AL20" s="189">
        <f t="shared" si="4"/>
        <v>0</v>
      </c>
      <c r="AM20" s="189">
        <f t="shared" si="4"/>
        <v>0</v>
      </c>
      <c r="AN20" s="189">
        <f t="shared" si="4"/>
        <v>0</v>
      </c>
      <c r="AO20" s="189">
        <f t="shared" si="4"/>
        <v>0</v>
      </c>
      <c r="AP20" s="189">
        <f t="shared" si="4"/>
        <v>0</v>
      </c>
      <c r="AQ20" s="189">
        <f t="shared" si="4"/>
        <v>0</v>
      </c>
      <c r="AR20" s="189">
        <f t="shared" si="4"/>
        <v>0</v>
      </c>
      <c r="AS20" s="189">
        <f t="shared" si="4"/>
        <v>0</v>
      </c>
      <c r="AT20" s="189">
        <f t="shared" si="4"/>
        <v>0</v>
      </c>
      <c r="AU20" s="209"/>
      <c r="AV20" s="134"/>
      <c r="AW20" s="209"/>
      <c r="AX20" s="134"/>
      <c r="AY20" s="189">
        <f>SUBTOTAL(9,AY15:AY19)</f>
        <v>0</v>
      </c>
      <c r="AZ20" s="189">
        <f>SUBTOTAL(9,AZ15:AZ19)</f>
        <v>0</v>
      </c>
      <c r="BA20" s="189">
        <f>SUBTOTAL(9,BA15:BA19)</f>
        <v>0</v>
      </c>
      <c r="BB20" s="189">
        <f>SUBTOTAL(9,BB15:BB19)</f>
        <v>0</v>
      </c>
      <c r="BC20" s="189">
        <f>SUBTOTAL(9,BC15:BC19)</f>
        <v>0</v>
      </c>
      <c r="BD20" s="210" t="str">
        <f>IF(ISNUMBER(BA20/AZ20),BA20/AZ20," - ")</f>
        <v xml:space="preserve"> - </v>
      </c>
      <c r="BE20" s="211" t="str">
        <f>IF(ISNUMBER(BB20/BA20),BB20/BA20, " - ")</f>
        <v xml:space="preserve"> - </v>
      </c>
      <c r="BF20" s="211" t="str">
        <f>IF(ISNUMBER(BC20/BA20),BC20/BA20, " - ")</f>
        <v xml:space="preserve"> - </v>
      </c>
      <c r="BG20" s="212" t="str">
        <f>IF(ISNUMBER((AY20+AZ20)/BA20),(AY20+AZ20)/BA20," - ")</f>
        <v xml:space="preserve"> - </v>
      </c>
      <c r="BH20" s="189">
        <f>SUBTOTAL(9,BH15:BH19)</f>
        <v>0</v>
      </c>
      <c r="BI20" s="189">
        <f>SUBTOTAL(9,BI15:BI19)</f>
        <v>0</v>
      </c>
      <c r="BJ20" s="189">
        <f>SUBTOTAL(9,BJ15:BJ19)</f>
        <v>0</v>
      </c>
      <c r="BK20" s="189">
        <f>SUBTOTAL(9,BK15:BK19)</f>
        <v>0</v>
      </c>
      <c r="BL20" s="189">
        <f>SUBTOTAL(9,BL15:BL19)</f>
        <v>0</v>
      </c>
      <c r="BM20" s="145" t="e">
        <f>AVERAGE(BM16:BM19)</f>
        <v>#DIV/0!</v>
      </c>
      <c r="BN20" s="156"/>
      <c r="BO20" s="156"/>
      <c r="BP20" s="156"/>
      <c r="BQ20" s="156"/>
      <c r="BR20" s="156"/>
      <c r="BS20" s="156"/>
      <c r="BT20" s="156"/>
      <c r="BU20" s="156"/>
      <c r="BV20" s="189"/>
      <c r="BW20" s="189"/>
      <c r="BX20" s="189"/>
      <c r="BY20" s="156"/>
      <c r="BZ20" s="156"/>
      <c r="CA20" s="189">
        <f t="shared" ref="CA20:CL20" si="5">SUBTOTAL(9,CA15:CA19)</f>
        <v>0</v>
      </c>
      <c r="CB20" s="189">
        <f t="shared" si="5"/>
        <v>0</v>
      </c>
      <c r="CC20" s="189">
        <f t="shared" si="5"/>
        <v>0</v>
      </c>
      <c r="CD20" s="189">
        <f t="shared" si="5"/>
        <v>0</v>
      </c>
      <c r="CE20" s="189">
        <f t="shared" si="5"/>
        <v>0</v>
      </c>
      <c r="CF20" s="189">
        <f t="shared" si="5"/>
        <v>0</v>
      </c>
      <c r="CG20" s="189">
        <f t="shared" si="5"/>
        <v>0</v>
      </c>
      <c r="CH20" s="189">
        <f t="shared" si="5"/>
        <v>0</v>
      </c>
      <c r="CI20" s="189">
        <f t="shared" si="5"/>
        <v>0</v>
      </c>
      <c r="CJ20" s="189">
        <f t="shared" si="5"/>
        <v>0</v>
      </c>
      <c r="CK20" s="189">
        <f t="shared" si="5"/>
        <v>0</v>
      </c>
      <c r="CL20" s="189">
        <f t="shared" si="5"/>
        <v>0</v>
      </c>
      <c r="CM20" s="301"/>
      <c r="CN20" s="156"/>
      <c r="CO20" s="156"/>
      <c r="CP20" s="156"/>
      <c r="CQ20" s="156"/>
      <c r="CR20" s="156"/>
      <c r="CS20" s="156"/>
      <c r="CT20" s="156"/>
      <c r="CU20" s="156"/>
      <c r="CV20" s="189">
        <f>SUBTOTAL(9,CV16:CV19)</f>
        <v>0</v>
      </c>
      <c r="CW20" s="189">
        <f>SUBTOTAL(9,CW16:CW19)</f>
        <v>0</v>
      </c>
      <c r="CX20" s="189"/>
      <c r="CY20" s="189">
        <f t="shared" ref="CY20:ER20" si="6">SUBTOTAL(9,CY16:CY19)</f>
        <v>0</v>
      </c>
      <c r="CZ20" s="189">
        <f t="shared" si="6"/>
        <v>0</v>
      </c>
      <c r="DA20" s="189">
        <f t="shared" si="6"/>
        <v>0</v>
      </c>
      <c r="DB20" s="189">
        <f t="shared" si="6"/>
        <v>0</v>
      </c>
      <c r="DC20" s="189">
        <f t="shared" si="6"/>
        <v>0</v>
      </c>
      <c r="DD20" s="189">
        <f t="shared" si="6"/>
        <v>0</v>
      </c>
      <c r="DE20" s="189">
        <f t="shared" si="6"/>
        <v>0</v>
      </c>
      <c r="DF20" s="189">
        <f t="shared" si="6"/>
        <v>0</v>
      </c>
      <c r="DG20" s="189">
        <f t="shared" si="6"/>
        <v>0</v>
      </c>
      <c r="DH20" s="189">
        <f t="shared" si="6"/>
        <v>0</v>
      </c>
      <c r="DI20" s="189">
        <f t="shared" si="6"/>
        <v>0</v>
      </c>
      <c r="DJ20" s="189">
        <f t="shared" si="6"/>
        <v>0</v>
      </c>
      <c r="DK20" s="189">
        <f t="shared" si="6"/>
        <v>0</v>
      </c>
      <c r="DL20" s="189">
        <f t="shared" si="6"/>
        <v>0</v>
      </c>
      <c r="DM20" s="189">
        <f t="shared" si="6"/>
        <v>0</v>
      </c>
      <c r="DN20" s="189">
        <f t="shared" si="6"/>
        <v>0</v>
      </c>
      <c r="DO20" s="189">
        <f t="shared" si="6"/>
        <v>0</v>
      </c>
      <c r="DP20" s="189">
        <f t="shared" si="6"/>
        <v>0</v>
      </c>
      <c r="DQ20" s="189">
        <f t="shared" si="6"/>
        <v>0</v>
      </c>
      <c r="DR20" s="189">
        <f t="shared" si="6"/>
        <v>0</v>
      </c>
      <c r="DS20" s="189">
        <f t="shared" si="6"/>
        <v>0</v>
      </c>
      <c r="DT20" s="189">
        <f t="shared" si="6"/>
        <v>0</v>
      </c>
      <c r="DU20" s="189">
        <f t="shared" si="6"/>
        <v>0</v>
      </c>
      <c r="DV20" s="745">
        <f t="shared" si="6"/>
        <v>0</v>
      </c>
      <c r="DW20" s="745">
        <f t="shared" si="6"/>
        <v>0</v>
      </c>
      <c r="DX20" s="745">
        <f t="shared" si="6"/>
        <v>0</v>
      </c>
      <c r="DY20" s="745">
        <f t="shared" si="6"/>
        <v>0</v>
      </c>
      <c r="DZ20" s="189">
        <f t="shared" si="6"/>
        <v>0</v>
      </c>
      <c r="EA20" s="189">
        <f t="shared" si="6"/>
        <v>0</v>
      </c>
      <c r="EB20" s="189">
        <f t="shared" si="6"/>
        <v>0</v>
      </c>
      <c r="EC20" s="189">
        <f t="shared" si="6"/>
        <v>0</v>
      </c>
      <c r="ED20" s="189">
        <f t="shared" si="6"/>
        <v>0</v>
      </c>
      <c r="EE20" s="189">
        <f t="shared" si="6"/>
        <v>0</v>
      </c>
      <c r="EF20" s="189">
        <f t="shared" si="6"/>
        <v>0</v>
      </c>
      <c r="EG20" s="189">
        <f t="shared" si="6"/>
        <v>0</v>
      </c>
      <c r="EH20" s="189">
        <f t="shared" si="6"/>
        <v>0</v>
      </c>
      <c r="EI20" s="189">
        <f t="shared" si="6"/>
        <v>0</v>
      </c>
      <c r="EJ20" s="189">
        <f t="shared" si="6"/>
        <v>0</v>
      </c>
      <c r="EK20" s="189">
        <f t="shared" si="6"/>
        <v>0</v>
      </c>
      <c r="EL20" s="189">
        <f t="shared" si="6"/>
        <v>0</v>
      </c>
      <c r="EM20" s="189">
        <f t="shared" si="6"/>
        <v>0</v>
      </c>
      <c r="EN20" s="189">
        <f t="shared" si="6"/>
        <v>0</v>
      </c>
      <c r="EO20" s="189">
        <f t="shared" si="6"/>
        <v>0</v>
      </c>
      <c r="EP20" s="189">
        <f t="shared" si="6"/>
        <v>0</v>
      </c>
      <c r="EQ20" s="189">
        <f t="shared" si="6"/>
        <v>0</v>
      </c>
      <c r="ER20" s="189">
        <f t="shared" si="6"/>
        <v>0</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7">SUBTOTAL(9,I9:I20)</f>
        <v>0</v>
      </c>
      <c r="J21" s="136">
        <f t="shared" si="7"/>
        <v>0</v>
      </c>
      <c r="K21" s="136">
        <f t="shared" si="7"/>
        <v>0</v>
      </c>
      <c r="L21" s="136">
        <f t="shared" si="7"/>
        <v>0</v>
      </c>
      <c r="M21" s="136">
        <f t="shared" si="7"/>
        <v>0</v>
      </c>
      <c r="N21" s="136">
        <f t="shared" si="7"/>
        <v>0</v>
      </c>
      <c r="O21" s="136">
        <f t="shared" si="7"/>
        <v>0</v>
      </c>
      <c r="P21" s="136">
        <f t="shared" si="7"/>
        <v>0</v>
      </c>
      <c r="Q21" s="136">
        <f t="shared" si="7"/>
        <v>0</v>
      </c>
      <c r="R21" s="136">
        <f t="shared" si="7"/>
        <v>0</v>
      </c>
      <c r="S21" s="136">
        <f t="shared" si="7"/>
        <v>0</v>
      </c>
      <c r="T21" s="136">
        <f t="shared" si="7"/>
        <v>0</v>
      </c>
      <c r="U21" s="136">
        <f t="shared" si="7"/>
        <v>0</v>
      </c>
      <c r="V21" s="136">
        <f t="shared" si="7"/>
        <v>0</v>
      </c>
      <c r="W21" s="136">
        <f t="shared" si="7"/>
        <v>0</v>
      </c>
      <c r="X21" s="136">
        <f t="shared" si="7"/>
        <v>0</v>
      </c>
      <c r="Y21" s="136">
        <f t="shared" si="7"/>
        <v>0</v>
      </c>
      <c r="Z21" s="136">
        <f t="shared" si="7"/>
        <v>0</v>
      </c>
      <c r="AA21" s="136">
        <f t="shared" si="7"/>
        <v>0</v>
      </c>
      <c r="AB21" s="136">
        <f t="shared" si="7"/>
        <v>0</v>
      </c>
      <c r="AC21" s="136">
        <f t="shared" si="7"/>
        <v>0</v>
      </c>
      <c r="AD21" s="136">
        <f t="shared" si="7"/>
        <v>0</v>
      </c>
      <c r="AE21" s="136">
        <f t="shared" si="7"/>
        <v>0</v>
      </c>
      <c r="AF21" s="136">
        <f t="shared" si="7"/>
        <v>0</v>
      </c>
      <c r="AG21" s="136">
        <f t="shared" si="7"/>
        <v>0</v>
      </c>
      <c r="AH21" s="136">
        <f t="shared" si="7"/>
        <v>0</v>
      </c>
      <c r="AI21" s="136">
        <f t="shared" si="7"/>
        <v>0</v>
      </c>
      <c r="AJ21" s="136">
        <f t="shared" si="7"/>
        <v>0</v>
      </c>
      <c r="AK21" s="136">
        <f t="shared" si="7"/>
        <v>0</v>
      </c>
      <c r="AL21" s="136">
        <f t="shared" si="7"/>
        <v>0</v>
      </c>
      <c r="AM21" s="136">
        <f t="shared" si="7"/>
        <v>0</v>
      </c>
      <c r="AN21" s="215">
        <f t="shared" si="7"/>
        <v>0</v>
      </c>
      <c r="AO21" s="216">
        <f t="shared" si="7"/>
        <v>0</v>
      </c>
      <c r="AP21" s="216">
        <f t="shared" si="7"/>
        <v>0</v>
      </c>
      <c r="AQ21" s="216">
        <f t="shared" si="7"/>
        <v>0</v>
      </c>
      <c r="AR21" s="216">
        <f t="shared" si="7"/>
        <v>0</v>
      </c>
      <c r="AS21" s="158">
        <f t="shared" si="7"/>
        <v>0</v>
      </c>
      <c r="AT21" s="158">
        <f t="shared" si="7"/>
        <v>0</v>
      </c>
      <c r="AU21" s="216"/>
      <c r="AV21" s="217"/>
      <c r="AW21" s="216"/>
      <c r="AX21" s="217"/>
      <c r="AY21" s="135">
        <f>SUBTOTAL(9,AY9:AY20)</f>
        <v>0</v>
      </c>
      <c r="AZ21" s="136">
        <f>SUBTOTAL(9,AZ9:AZ20)</f>
        <v>0</v>
      </c>
      <c r="BA21" s="136">
        <f>SUBTOTAL(9,BA9:BA20)</f>
        <v>0</v>
      </c>
      <c r="BB21" s="136">
        <f>SUBTOTAL(9,BB9:BB20)</f>
        <v>0</v>
      </c>
      <c r="BC21" s="137">
        <f>SUBTOTAL(9,BC9:BC20)</f>
        <v>0</v>
      </c>
      <c r="BD21" s="218" t="str">
        <f>IF(ISNUMBER(BA21/AZ21),BA21/AZ21," - ")</f>
        <v xml:space="preserve"> - </v>
      </c>
      <c r="BE21" s="215" t="str">
        <f>IF(ISNUMBER(BB21/BA21),BB21/BA21, " - ")</f>
        <v xml:space="preserve"> - </v>
      </c>
      <c r="BF21" s="215" t="str">
        <f>IF(ISNUMBER(BC21/BA21),BC21/BA21, " - ")</f>
        <v xml:space="preserve"> - </v>
      </c>
      <c r="BG21" s="137" t="str">
        <f>IF(ISNUMBER((AY21+AZ21)/BA21),(AY21+AZ21)/BA21," - ")</f>
        <v xml:space="preserve"> - </v>
      </c>
      <c r="BH21" s="216">
        <f>SUBTOTAL(9,BH9:BH20)</f>
        <v>0</v>
      </c>
      <c r="BI21" s="216">
        <f>SUBTOTAL(9,BI9:BI20)</f>
        <v>0</v>
      </c>
      <c r="BJ21" s="216"/>
      <c r="BK21" s="216">
        <f>SUBTOTAL(9,BK9:BK20)</f>
        <v>0</v>
      </c>
      <c r="BL21" s="216"/>
      <c r="BM21" s="216" t="e">
        <f>AVERAGE(BM9:BM20)</f>
        <v>#DIV/0!</v>
      </c>
      <c r="BN21" s="216">
        <f t="shared" ref="BN21:BS21" si="8">SUBTOTAL(9,BN9:BN20)</f>
        <v>0</v>
      </c>
      <c r="BO21" s="216">
        <f t="shared" si="8"/>
        <v>0</v>
      </c>
      <c r="BP21" s="216">
        <f t="shared" si="8"/>
        <v>0</v>
      </c>
      <c r="BQ21" s="216">
        <f t="shared" si="8"/>
        <v>0</v>
      </c>
      <c r="BR21" s="216">
        <f t="shared" si="8"/>
        <v>0</v>
      </c>
      <c r="BS21" s="216">
        <f t="shared" si="8"/>
        <v>0</v>
      </c>
      <c r="BT21" s="216" t="e">
        <f>AVERAGE(BT9:BT20)</f>
        <v>#DIV/0!</v>
      </c>
      <c r="BU21" s="216" t="e">
        <f>AVERAGE(BU9:BU20)</f>
        <v>#DIV/0!</v>
      </c>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t="e">
        <f>SUBTOTAL(9,CN9:CN20)</f>
        <v>#DIV/0!</v>
      </c>
      <c r="CO21" s="216">
        <f>SUBTOTAL(9,CO9:CO20)</f>
        <v>0</v>
      </c>
      <c r="CP21" s="216">
        <f>SUBTOTAL(9,CP9:CP20)</f>
        <v>0</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R21" si="9">SUBTOTAL(9,DM9:DM20)</f>
        <v>0</v>
      </c>
      <c r="DN21" s="158">
        <f t="shared" si="9"/>
        <v>0</v>
      </c>
      <c r="DO21" s="158">
        <f t="shared" si="9"/>
        <v>0</v>
      </c>
      <c r="DP21" s="158">
        <f t="shared" si="9"/>
        <v>0</v>
      </c>
      <c r="DQ21" s="158">
        <f t="shared" si="9"/>
        <v>0</v>
      </c>
      <c r="DR21" s="158">
        <f t="shared" si="9"/>
        <v>0</v>
      </c>
      <c r="DS21" s="158">
        <f t="shared" si="9"/>
        <v>0</v>
      </c>
      <c r="DT21" s="158">
        <f t="shared" si="9"/>
        <v>0</v>
      </c>
      <c r="DU21" s="158">
        <f t="shared" si="9"/>
        <v>0</v>
      </c>
      <c r="DV21" s="158">
        <f t="shared" si="9"/>
        <v>0</v>
      </c>
      <c r="DW21" s="158">
        <f t="shared" si="9"/>
        <v>0</v>
      </c>
      <c r="DX21" s="158">
        <f t="shared" si="9"/>
        <v>0</v>
      </c>
      <c r="DY21" s="158">
        <f t="shared" si="9"/>
        <v>0</v>
      </c>
      <c r="DZ21" s="158">
        <f t="shared" si="9"/>
        <v>0</v>
      </c>
      <c r="EA21" s="158">
        <f t="shared" si="9"/>
        <v>0</v>
      </c>
      <c r="EB21" s="158">
        <f t="shared" si="9"/>
        <v>0</v>
      </c>
      <c r="EC21" s="158">
        <f t="shared" si="9"/>
        <v>0</v>
      </c>
      <c r="ED21" s="158">
        <f t="shared" si="9"/>
        <v>0</v>
      </c>
      <c r="EE21" s="158">
        <f t="shared" si="9"/>
        <v>0</v>
      </c>
      <c r="EF21" s="158">
        <f t="shared" si="9"/>
        <v>0</v>
      </c>
      <c r="EG21" s="158">
        <f t="shared" si="9"/>
        <v>0</v>
      </c>
      <c r="EH21" s="158">
        <f t="shared" si="9"/>
        <v>0</v>
      </c>
      <c r="EI21" s="158">
        <f t="shared" si="9"/>
        <v>0</v>
      </c>
      <c r="EJ21" s="158">
        <f t="shared" si="9"/>
        <v>0</v>
      </c>
      <c r="EK21" s="158">
        <f t="shared" si="9"/>
        <v>0</v>
      </c>
      <c r="EL21" s="158">
        <f t="shared" si="9"/>
        <v>0</v>
      </c>
      <c r="EM21" s="158">
        <f t="shared" si="9"/>
        <v>0</v>
      </c>
      <c r="EN21" s="158">
        <f t="shared" si="9"/>
        <v>0</v>
      </c>
      <c r="EO21" s="158">
        <f t="shared" si="9"/>
        <v>0</v>
      </c>
      <c r="EP21" s="158">
        <f t="shared" si="9"/>
        <v>0</v>
      </c>
      <c r="EQ21" s="158">
        <f t="shared" si="9"/>
        <v>0</v>
      </c>
      <c r="ER21" s="158">
        <f t="shared" si="9"/>
        <v>0</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zZBtu5e+6e4BmkCXgutps3WMmfbIVGFnWlnS2KUq3wQVzJppQlhwR1APx1PDXV4titzMmi6e4oy3Hw+ix8lrvQ==" saltValue="hm93l0UQr//25DVKiASiK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12:BI13 BJ11:BJ13 BJ16:BJ19 BV11:BX11 CA11:CD11 CK16:CR18 CS18:CU18 CS16:CU16 CS12:CU13 CK11:CR13 AO10 AQ10 AO12:AR13 AQ18 AO16:AR16 Y13:AB13 Y10:AB10 S16:AN19 S9:X13 AC10:AN13 AC9:AX9 BT17:BU17 BK18:BX18 CA18:CJ18 AS10:AX13 AS16:AX19 BK12:BX13 CA12:CJ13 CV16:DG19 DH16:DL18 CV11:DL13 BJ10:DL10 BK16:CJ16 BH9:EA9 EB16:EK19 EO16:ER19 EV9:EW13 EV16:EW19 DF9:DF13 AU9:AU13 AW9:AW12 DM10:EN13 EO9:ES13 EX10:EY13">
    <cfRule type="cellIs" dxfId="758" priority="1993" stopIfTrue="1" operator="equal">
      <formula>$A$33</formula>
    </cfRule>
  </conditionalFormatting>
  <conditionalFormatting sqref="BD15:BG15 I8:DF8 I1:DG1 BH20:EJ20 I20:BC20 I14:BC15 DJ8 BH14:DL15 I21:DL21 EM14:EN14 EO8:ER8 EO15:ER15 EV15:EW15 EV20:EW20 EX21:EY21">
    <cfRule type="cellIs" dxfId="757" priority="1994"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O11:ER11 EO17:ER17 EO19:ES19 EV17:EW17 EV19:EW19">
    <cfRule type="cellIs" dxfId="756" priority="1995" stopIfTrue="1" operator="equal">
      <formula>$A$32</formula>
    </cfRule>
  </conditionalFormatting>
  <conditionalFormatting sqref="BT17:BU17">
    <cfRule type="cellIs" dxfId="755" priority="1992" stopIfTrue="1" operator="equal">
      <formula>$A$33</formula>
    </cfRule>
  </conditionalFormatting>
  <conditionalFormatting sqref="DE17">
    <cfRule type="cellIs" dxfId="754" priority="1989" stopIfTrue="1" operator="equal">
      <formula>$A$32</formula>
    </cfRule>
  </conditionalFormatting>
  <conditionalFormatting sqref="BN17:BU17">
    <cfRule type="cellIs" dxfId="753" priority="1986" stopIfTrue="1" operator="equal">
      <formula>$A$32</formula>
    </cfRule>
  </conditionalFormatting>
  <conditionalFormatting sqref="BN13:BO13">
    <cfRule type="cellIs" dxfId="752" priority="1984" stopIfTrue="1" operator="equal">
      <formula>$A$32</formula>
    </cfRule>
  </conditionalFormatting>
  <conditionalFormatting sqref="BT13:BU13">
    <cfRule type="cellIs" dxfId="751" priority="1983" stopIfTrue="1" operator="equal">
      <formula>$A$32</formula>
    </cfRule>
  </conditionalFormatting>
  <conditionalFormatting sqref="DB17:DE17">
    <cfRule type="cellIs" dxfId="750" priority="1979" stopIfTrue="1" operator="equal">
      <formula>$A$32</formula>
    </cfRule>
  </conditionalFormatting>
  <conditionalFormatting sqref="DB17:DE17">
    <cfRule type="cellIs" dxfId="749" priority="1975" stopIfTrue="1" operator="equal">
      <formula>$A$32</formula>
    </cfRule>
  </conditionalFormatting>
  <conditionalFormatting sqref="DB16">
    <cfRule type="cellIs" dxfId="748" priority="1973" stopIfTrue="1" operator="equal">
      <formula>$A$32</formula>
    </cfRule>
  </conditionalFormatting>
  <conditionalFormatting sqref="DE18">
    <cfRule type="cellIs" dxfId="747" priority="1972" stopIfTrue="1" operator="equal">
      <formula>$A$32</formula>
    </cfRule>
  </conditionalFormatting>
  <conditionalFormatting sqref="DB16:DE19">
    <cfRule type="cellIs" dxfId="746" priority="1968" stopIfTrue="1" operator="equal">
      <formula>$A$33</formula>
    </cfRule>
  </conditionalFormatting>
  <conditionalFormatting sqref="DB14:DE15">
    <cfRule type="cellIs" dxfId="745" priority="1967" stopIfTrue="1" operator="equal">
      <formula>$A$33</formula>
    </cfRule>
  </conditionalFormatting>
  <conditionalFormatting sqref="DB17:DE17">
    <cfRule type="cellIs" dxfId="744" priority="1966" stopIfTrue="1" operator="equal">
      <formula>$A$32</formula>
    </cfRule>
  </conditionalFormatting>
  <conditionalFormatting sqref="DB16:DE19">
    <cfRule type="cellIs" dxfId="743" priority="1964" stopIfTrue="1" operator="equal">
      <formula>$A$33</formula>
    </cfRule>
  </conditionalFormatting>
  <conditionalFormatting sqref="DB14:DE15">
    <cfRule type="cellIs" dxfId="742" priority="1963" stopIfTrue="1" operator="equal">
      <formula>$A$33</formula>
    </cfRule>
  </conditionalFormatting>
  <conditionalFormatting sqref="DB17:DE17">
    <cfRule type="cellIs" dxfId="741" priority="1962" stopIfTrue="1" operator="equal">
      <formula>$A$32</formula>
    </cfRule>
  </conditionalFormatting>
  <conditionalFormatting sqref="DB16">
    <cfRule type="cellIs" dxfId="740" priority="1960" stopIfTrue="1" operator="equal">
      <formula>$A$32</formula>
    </cfRule>
  </conditionalFormatting>
  <conditionalFormatting sqref="DE18">
    <cfRule type="cellIs" dxfId="739" priority="1959" stopIfTrue="1" operator="equal">
      <formula>$A$32</formula>
    </cfRule>
  </conditionalFormatting>
  <conditionalFormatting sqref="DB13">
    <cfRule type="cellIs" dxfId="738" priority="1957" stopIfTrue="1" operator="equal">
      <formula>$A$33</formula>
    </cfRule>
  </conditionalFormatting>
  <conditionalFormatting sqref="DB13">
    <cfRule type="cellIs" dxfId="737" priority="1956" stopIfTrue="1" operator="equal">
      <formula>$A$33</formula>
    </cfRule>
  </conditionalFormatting>
  <conditionalFormatting sqref="DB13">
    <cfRule type="cellIs" dxfId="736" priority="1955" stopIfTrue="1" operator="equal">
      <formula>$A$33</formula>
    </cfRule>
  </conditionalFormatting>
  <conditionalFormatting sqref="DB13">
    <cfRule type="cellIs" dxfId="735" priority="1954" stopIfTrue="1" operator="equal">
      <formula>$A$33</formula>
    </cfRule>
  </conditionalFormatting>
  <conditionalFormatting sqref="DB13">
    <cfRule type="cellIs" dxfId="734" priority="1953" stopIfTrue="1" operator="equal">
      <formula>$A$33</formula>
    </cfRule>
  </conditionalFormatting>
  <conditionalFormatting sqref="DB13">
    <cfRule type="cellIs" dxfId="733" priority="1952" stopIfTrue="1" operator="equal">
      <formula>$A$33</formula>
    </cfRule>
  </conditionalFormatting>
  <conditionalFormatting sqref="DF1:DG1">
    <cfRule type="cellIs" dxfId="732" priority="1951" stopIfTrue="1" operator="equal">
      <formula>$A$33</formula>
    </cfRule>
  </conditionalFormatting>
  <conditionalFormatting sqref="DF17">
    <cfRule type="cellIs" dxfId="731" priority="1948" stopIfTrue="1" operator="equal">
      <formula>$A$32</formula>
    </cfRule>
  </conditionalFormatting>
  <conditionalFormatting sqref="DF17">
    <cfRule type="cellIs" dxfId="730" priority="1945" stopIfTrue="1" operator="equal">
      <formula>$A$32</formula>
    </cfRule>
  </conditionalFormatting>
  <conditionalFormatting sqref="DF17">
    <cfRule type="cellIs" dxfId="729" priority="1942" stopIfTrue="1" operator="equal">
      <formula>$A$32</formula>
    </cfRule>
  </conditionalFormatting>
  <conditionalFormatting sqref="DF18">
    <cfRule type="cellIs" dxfId="728" priority="1941" stopIfTrue="1" operator="equal">
      <formula>$A$32</formula>
    </cfRule>
  </conditionalFormatting>
  <conditionalFormatting sqref="DF16:DF19">
    <cfRule type="cellIs" dxfId="727" priority="1937" stopIfTrue="1" operator="equal">
      <formula>$A$33</formula>
    </cfRule>
  </conditionalFormatting>
  <conditionalFormatting sqref="DF14:DF15">
    <cfRule type="cellIs" dxfId="726" priority="1936" stopIfTrue="1" operator="equal">
      <formula>$A$33</formula>
    </cfRule>
  </conditionalFormatting>
  <conditionalFormatting sqref="DF17">
    <cfRule type="cellIs" dxfId="725" priority="1935" stopIfTrue="1" operator="equal">
      <formula>$A$32</formula>
    </cfRule>
  </conditionalFormatting>
  <conditionalFormatting sqref="DF16:DF19">
    <cfRule type="cellIs" dxfId="724" priority="1934" stopIfTrue="1" operator="equal">
      <formula>$A$33</formula>
    </cfRule>
  </conditionalFormatting>
  <conditionalFormatting sqref="DF14:DF15">
    <cfRule type="cellIs" dxfId="723" priority="1933" stopIfTrue="1" operator="equal">
      <formula>$A$33</formula>
    </cfRule>
  </conditionalFormatting>
  <conditionalFormatting sqref="DF17">
    <cfRule type="cellIs" dxfId="722" priority="1932" stopIfTrue="1" operator="equal">
      <formula>$A$32</formula>
    </cfRule>
  </conditionalFormatting>
  <conditionalFormatting sqref="DF18">
    <cfRule type="cellIs" dxfId="721" priority="1931" stopIfTrue="1" operator="equal">
      <formula>$A$32</formula>
    </cfRule>
  </conditionalFormatting>
  <conditionalFormatting sqref="DB17:DE17">
    <cfRule type="cellIs" dxfId="720" priority="1927" stopIfTrue="1" operator="equal">
      <formula>$A$32</formula>
    </cfRule>
  </conditionalFormatting>
  <conditionalFormatting sqref="DB17:DE17">
    <cfRule type="cellIs" dxfId="719" priority="1923" stopIfTrue="1" operator="equal">
      <formula>$A$32</formula>
    </cfRule>
  </conditionalFormatting>
  <conditionalFormatting sqref="DB16">
    <cfRule type="cellIs" dxfId="718" priority="1921" stopIfTrue="1" operator="equal">
      <formula>$A$32</formula>
    </cfRule>
  </conditionalFormatting>
  <conditionalFormatting sqref="DE18">
    <cfRule type="cellIs" dxfId="717" priority="1920" stopIfTrue="1" operator="equal">
      <formula>$A$32</formula>
    </cfRule>
  </conditionalFormatting>
  <conditionalFormatting sqref="DB13">
    <cfRule type="cellIs" dxfId="716" priority="1916" stopIfTrue="1" operator="equal">
      <formula>$A$33</formula>
    </cfRule>
  </conditionalFormatting>
  <conditionalFormatting sqref="DB13">
    <cfRule type="cellIs" dxfId="715" priority="1915" stopIfTrue="1" operator="equal">
      <formula>$A$33</formula>
    </cfRule>
  </conditionalFormatting>
  <conditionalFormatting sqref="DB13">
    <cfRule type="cellIs" dxfId="714" priority="1914" stopIfTrue="1" operator="equal">
      <formula>$A$33</formula>
    </cfRule>
  </conditionalFormatting>
  <conditionalFormatting sqref="DB13">
    <cfRule type="cellIs" dxfId="713" priority="1913" stopIfTrue="1" operator="equal">
      <formula>$A$33</formula>
    </cfRule>
  </conditionalFormatting>
  <conditionalFormatting sqref="DB13">
    <cfRule type="cellIs" dxfId="712" priority="1912" stopIfTrue="1" operator="equal">
      <formula>$A$33</formula>
    </cfRule>
  </conditionalFormatting>
  <conditionalFormatting sqref="DB13">
    <cfRule type="cellIs" dxfId="711" priority="1911" stopIfTrue="1" operator="equal">
      <formula>$A$33</formula>
    </cfRule>
  </conditionalFormatting>
  <conditionalFormatting sqref="DF17">
    <cfRule type="cellIs" dxfId="710" priority="1908" stopIfTrue="1" operator="equal">
      <formula>$A$32</formula>
    </cfRule>
  </conditionalFormatting>
  <conditionalFormatting sqref="DF17">
    <cfRule type="cellIs" dxfId="709" priority="1905" stopIfTrue="1" operator="equal">
      <formula>$A$32</formula>
    </cfRule>
  </conditionalFormatting>
  <conditionalFormatting sqref="DF17">
    <cfRule type="cellIs" dxfId="708" priority="1902" stopIfTrue="1" operator="equal">
      <formula>$A$32</formula>
    </cfRule>
  </conditionalFormatting>
  <conditionalFormatting sqref="DF18">
    <cfRule type="cellIs" dxfId="707" priority="1901" stopIfTrue="1" operator="equal">
      <formula>$A$32</formula>
    </cfRule>
  </conditionalFormatting>
  <conditionalFormatting sqref="DF14:DF15">
    <cfRule type="cellIs" dxfId="706" priority="1896" stopIfTrue="1" operator="equal">
      <formula>$A$33</formula>
    </cfRule>
  </conditionalFormatting>
  <conditionalFormatting sqref="DF17">
    <cfRule type="cellIs" dxfId="705" priority="1895" stopIfTrue="1" operator="equal">
      <formula>$A$32</formula>
    </cfRule>
  </conditionalFormatting>
  <conditionalFormatting sqref="DF14:DF15">
    <cfRule type="cellIs" dxfId="704" priority="1893" stopIfTrue="1" operator="equal">
      <formula>$A$33</formula>
    </cfRule>
  </conditionalFormatting>
  <conditionalFormatting sqref="DF17">
    <cfRule type="cellIs" dxfId="703" priority="1892" stopIfTrue="1" operator="equal">
      <formula>$A$32</formula>
    </cfRule>
  </conditionalFormatting>
  <conditionalFormatting sqref="DF18">
    <cfRule type="cellIs" dxfId="702" priority="1891" stopIfTrue="1" operator="equal">
      <formula>$A$32</formula>
    </cfRule>
  </conditionalFormatting>
  <conditionalFormatting sqref="DB17:DE17">
    <cfRule type="cellIs" dxfId="701" priority="1884" stopIfTrue="1" operator="equal">
      <formula>$A$32</formula>
    </cfRule>
  </conditionalFormatting>
  <conditionalFormatting sqref="DB17:DE17">
    <cfRule type="cellIs" dxfId="700" priority="1880" stopIfTrue="1" operator="equal">
      <formula>$A$32</formula>
    </cfRule>
  </conditionalFormatting>
  <conditionalFormatting sqref="DB16">
    <cfRule type="cellIs" dxfId="699" priority="1878" stopIfTrue="1" operator="equal">
      <formula>$A$32</formula>
    </cfRule>
  </conditionalFormatting>
  <conditionalFormatting sqref="DE18">
    <cfRule type="cellIs" dxfId="698" priority="1877" stopIfTrue="1" operator="equal">
      <formula>$A$32</formula>
    </cfRule>
  </conditionalFormatting>
  <conditionalFormatting sqref="DB13">
    <cfRule type="cellIs" dxfId="697" priority="1873" stopIfTrue="1" operator="equal">
      <formula>$A$33</formula>
    </cfRule>
  </conditionalFormatting>
  <conditionalFormatting sqref="DB13">
    <cfRule type="cellIs" dxfId="696" priority="1872" stopIfTrue="1" operator="equal">
      <formula>$A$33</formula>
    </cfRule>
  </conditionalFormatting>
  <conditionalFormatting sqref="DB13">
    <cfRule type="cellIs" dxfId="695" priority="1871" stopIfTrue="1" operator="equal">
      <formula>$A$33</formula>
    </cfRule>
  </conditionalFormatting>
  <conditionalFormatting sqref="DB13">
    <cfRule type="cellIs" dxfId="694" priority="1870" stopIfTrue="1" operator="equal">
      <formula>$A$33</formula>
    </cfRule>
  </conditionalFormatting>
  <conditionalFormatting sqref="DB13">
    <cfRule type="cellIs" dxfId="693" priority="1869" stopIfTrue="1" operator="equal">
      <formula>$A$33</formula>
    </cfRule>
  </conditionalFormatting>
  <conditionalFormatting sqref="DB13">
    <cfRule type="cellIs" dxfId="692" priority="1868" stopIfTrue="1" operator="equal">
      <formula>$A$33</formula>
    </cfRule>
  </conditionalFormatting>
  <conditionalFormatting sqref="DF17">
    <cfRule type="cellIs" dxfId="691" priority="1865" stopIfTrue="1" operator="equal">
      <formula>$A$32</formula>
    </cfRule>
  </conditionalFormatting>
  <conditionalFormatting sqref="DF17">
    <cfRule type="cellIs" dxfId="690" priority="1862" stopIfTrue="1" operator="equal">
      <formula>$A$32</formula>
    </cfRule>
  </conditionalFormatting>
  <conditionalFormatting sqref="DF17">
    <cfRule type="cellIs" dxfId="689" priority="1859" stopIfTrue="1" operator="equal">
      <formula>$A$32</formula>
    </cfRule>
  </conditionalFormatting>
  <conditionalFormatting sqref="DF18">
    <cfRule type="cellIs" dxfId="688" priority="1858" stopIfTrue="1" operator="equal">
      <formula>$A$32</formula>
    </cfRule>
  </conditionalFormatting>
  <conditionalFormatting sqref="DF14:DF15">
    <cfRule type="cellIs" dxfId="687" priority="1853" stopIfTrue="1" operator="equal">
      <formula>$A$33</formula>
    </cfRule>
  </conditionalFormatting>
  <conditionalFormatting sqref="DF17">
    <cfRule type="cellIs" dxfId="686" priority="1852" stopIfTrue="1" operator="equal">
      <formula>$A$32</formula>
    </cfRule>
  </conditionalFormatting>
  <conditionalFormatting sqref="DF14:DF15">
    <cfRule type="cellIs" dxfId="685" priority="1850" stopIfTrue="1" operator="equal">
      <formula>$A$33</formula>
    </cfRule>
  </conditionalFormatting>
  <conditionalFormatting sqref="DF17">
    <cfRule type="cellIs" dxfId="684" priority="1849" stopIfTrue="1" operator="equal">
      <formula>$A$32</formula>
    </cfRule>
  </conditionalFormatting>
  <conditionalFormatting sqref="DF18">
    <cfRule type="cellIs" dxfId="683" priority="1848" stopIfTrue="1" operator="equal">
      <formula>$A$32</formula>
    </cfRule>
  </conditionalFormatting>
  <conditionalFormatting sqref="DB17:DE17">
    <cfRule type="cellIs" dxfId="682" priority="1844" stopIfTrue="1" operator="equal">
      <formula>$A$32</formula>
    </cfRule>
  </conditionalFormatting>
  <conditionalFormatting sqref="DB17:DE17">
    <cfRule type="cellIs" dxfId="681" priority="1840" stopIfTrue="1" operator="equal">
      <formula>$A$32</formula>
    </cfRule>
  </conditionalFormatting>
  <conditionalFormatting sqref="DB16">
    <cfRule type="cellIs" dxfId="680" priority="1838" stopIfTrue="1" operator="equal">
      <formula>$A$32</formula>
    </cfRule>
  </conditionalFormatting>
  <conditionalFormatting sqref="DE18">
    <cfRule type="cellIs" dxfId="679" priority="1837" stopIfTrue="1" operator="equal">
      <formula>$A$32</formula>
    </cfRule>
  </conditionalFormatting>
  <conditionalFormatting sqref="DB13">
    <cfRule type="cellIs" dxfId="678" priority="1833" stopIfTrue="1" operator="equal">
      <formula>$A$33</formula>
    </cfRule>
  </conditionalFormatting>
  <conditionalFormatting sqref="DB13">
    <cfRule type="cellIs" dxfId="677" priority="1832" stopIfTrue="1" operator="equal">
      <formula>$A$33</formula>
    </cfRule>
  </conditionalFormatting>
  <conditionalFormatting sqref="DB13">
    <cfRule type="cellIs" dxfId="676" priority="1831" stopIfTrue="1" operator="equal">
      <formula>$A$33</formula>
    </cfRule>
  </conditionalFormatting>
  <conditionalFormatting sqref="DB13">
    <cfRule type="cellIs" dxfId="675" priority="1830" stopIfTrue="1" operator="equal">
      <formula>$A$33</formula>
    </cfRule>
  </conditionalFormatting>
  <conditionalFormatting sqref="DB13">
    <cfRule type="cellIs" dxfId="674" priority="1829" stopIfTrue="1" operator="equal">
      <formula>$A$33</formula>
    </cfRule>
  </conditionalFormatting>
  <conditionalFormatting sqref="DB13">
    <cfRule type="cellIs" dxfId="673" priority="1828" stopIfTrue="1" operator="equal">
      <formula>$A$33</formula>
    </cfRule>
  </conditionalFormatting>
  <conditionalFormatting sqref="DF17">
    <cfRule type="cellIs" dxfId="672" priority="1825" stopIfTrue="1" operator="equal">
      <formula>$A$32</formula>
    </cfRule>
  </conditionalFormatting>
  <conditionalFormatting sqref="DF17">
    <cfRule type="cellIs" dxfId="671" priority="1822" stopIfTrue="1" operator="equal">
      <formula>$A$32</formula>
    </cfRule>
  </conditionalFormatting>
  <conditionalFormatting sqref="DF17">
    <cfRule type="cellIs" dxfId="670" priority="1819" stopIfTrue="1" operator="equal">
      <formula>$A$32</formula>
    </cfRule>
  </conditionalFormatting>
  <conditionalFormatting sqref="DF18">
    <cfRule type="cellIs" dxfId="669" priority="1818" stopIfTrue="1" operator="equal">
      <formula>$A$32</formula>
    </cfRule>
  </conditionalFormatting>
  <conditionalFormatting sqref="DF14:DF15">
    <cfRule type="cellIs" dxfId="668" priority="1813" stopIfTrue="1" operator="equal">
      <formula>$A$33</formula>
    </cfRule>
  </conditionalFormatting>
  <conditionalFormatting sqref="DF17">
    <cfRule type="cellIs" dxfId="667" priority="1812" stopIfTrue="1" operator="equal">
      <formula>$A$32</formula>
    </cfRule>
  </conditionalFormatting>
  <conditionalFormatting sqref="DF14:DF15">
    <cfRule type="cellIs" dxfId="666" priority="1810" stopIfTrue="1" operator="equal">
      <formula>$A$33</formula>
    </cfRule>
  </conditionalFormatting>
  <conditionalFormatting sqref="DF17">
    <cfRule type="cellIs" dxfId="665" priority="1809" stopIfTrue="1" operator="equal">
      <formula>$A$32</formula>
    </cfRule>
  </conditionalFormatting>
  <conditionalFormatting sqref="DF18">
    <cfRule type="cellIs" dxfId="664" priority="1808" stopIfTrue="1" operator="equal">
      <formula>$A$32</formula>
    </cfRule>
  </conditionalFormatting>
  <conditionalFormatting sqref="DB17:DE17">
    <cfRule type="cellIs" dxfId="663" priority="1804" stopIfTrue="1" operator="equal">
      <formula>$A$32</formula>
    </cfRule>
  </conditionalFormatting>
  <conditionalFormatting sqref="DB17:DE17">
    <cfRule type="cellIs" dxfId="662" priority="1800" stopIfTrue="1" operator="equal">
      <formula>$A$32</formula>
    </cfRule>
  </conditionalFormatting>
  <conditionalFormatting sqref="DB16">
    <cfRule type="cellIs" dxfId="661" priority="1798" stopIfTrue="1" operator="equal">
      <formula>$A$32</formula>
    </cfRule>
  </conditionalFormatting>
  <conditionalFormatting sqref="DE18">
    <cfRule type="cellIs" dxfId="660" priority="1797" stopIfTrue="1" operator="equal">
      <formula>$A$32</formula>
    </cfRule>
  </conditionalFormatting>
  <conditionalFormatting sqref="DB13">
    <cfRule type="cellIs" dxfId="659" priority="1793" stopIfTrue="1" operator="equal">
      <formula>$A$33</formula>
    </cfRule>
  </conditionalFormatting>
  <conditionalFormatting sqref="DB13">
    <cfRule type="cellIs" dxfId="658" priority="1792" stopIfTrue="1" operator="equal">
      <formula>$A$33</formula>
    </cfRule>
  </conditionalFormatting>
  <conditionalFormatting sqref="DB13">
    <cfRule type="cellIs" dxfId="657" priority="1791" stopIfTrue="1" operator="equal">
      <formula>$A$33</formula>
    </cfRule>
  </conditionalFormatting>
  <conditionalFormatting sqref="DB13">
    <cfRule type="cellIs" dxfId="656" priority="1790" stopIfTrue="1" operator="equal">
      <formula>$A$33</formula>
    </cfRule>
  </conditionalFormatting>
  <conditionalFormatting sqref="DB13">
    <cfRule type="cellIs" dxfId="655" priority="1789" stopIfTrue="1" operator="equal">
      <formula>$A$33</formula>
    </cfRule>
  </conditionalFormatting>
  <conditionalFormatting sqref="DB13">
    <cfRule type="cellIs" dxfId="654" priority="1788" stopIfTrue="1" operator="equal">
      <formula>$A$33</formula>
    </cfRule>
  </conditionalFormatting>
  <conditionalFormatting sqref="DF17">
    <cfRule type="cellIs" dxfId="653" priority="1785" stopIfTrue="1" operator="equal">
      <formula>$A$32</formula>
    </cfRule>
  </conditionalFormatting>
  <conditionalFormatting sqref="DF17">
    <cfRule type="cellIs" dxfId="652" priority="1782" stopIfTrue="1" operator="equal">
      <formula>$A$32</formula>
    </cfRule>
  </conditionalFormatting>
  <conditionalFormatting sqref="DF17">
    <cfRule type="cellIs" dxfId="651" priority="1779" stopIfTrue="1" operator="equal">
      <formula>$A$32</formula>
    </cfRule>
  </conditionalFormatting>
  <conditionalFormatting sqref="DF18">
    <cfRule type="cellIs" dxfId="650" priority="1778" stopIfTrue="1" operator="equal">
      <formula>$A$32</formula>
    </cfRule>
  </conditionalFormatting>
  <conditionalFormatting sqref="DF14:DF15">
    <cfRule type="cellIs" dxfId="649" priority="1773" stopIfTrue="1" operator="equal">
      <formula>$A$33</formula>
    </cfRule>
  </conditionalFormatting>
  <conditionalFormatting sqref="DF17">
    <cfRule type="cellIs" dxfId="648" priority="1772" stopIfTrue="1" operator="equal">
      <formula>$A$32</formula>
    </cfRule>
  </conditionalFormatting>
  <conditionalFormatting sqref="DF14:DF15">
    <cfRule type="cellIs" dxfId="647" priority="1770" stopIfTrue="1" operator="equal">
      <formula>$A$33</formula>
    </cfRule>
  </conditionalFormatting>
  <conditionalFormatting sqref="DF17">
    <cfRule type="cellIs" dxfId="646" priority="1769" stopIfTrue="1" operator="equal">
      <formula>$A$32</formula>
    </cfRule>
  </conditionalFormatting>
  <conditionalFormatting sqref="DF18">
    <cfRule type="cellIs" dxfId="645" priority="1768" stopIfTrue="1" operator="equal">
      <formula>$A$32</formula>
    </cfRule>
  </conditionalFormatting>
  <conditionalFormatting sqref="DB17:DD17">
    <cfRule type="cellIs" dxfId="644" priority="1762" stopIfTrue="1" operator="equal">
      <formula>$A$32</formula>
    </cfRule>
  </conditionalFormatting>
  <conditionalFormatting sqref="DB17:DD17">
    <cfRule type="cellIs" dxfId="643" priority="1758" stopIfTrue="1" operator="equal">
      <formula>$A$32</formula>
    </cfRule>
  </conditionalFormatting>
  <conditionalFormatting sqref="DB16">
    <cfRule type="cellIs" dxfId="642" priority="1756" stopIfTrue="1" operator="equal">
      <formula>$A$32</formula>
    </cfRule>
  </conditionalFormatting>
  <conditionalFormatting sqref="DB13">
    <cfRule type="cellIs" dxfId="641" priority="1755" stopIfTrue="1" operator="equal">
      <formula>$A$33</formula>
    </cfRule>
  </conditionalFormatting>
  <conditionalFormatting sqref="DB13">
    <cfRule type="cellIs" dxfId="640" priority="1754" stopIfTrue="1" operator="equal">
      <formula>$A$33</formula>
    </cfRule>
  </conditionalFormatting>
  <conditionalFormatting sqref="DB13">
    <cfRule type="cellIs" dxfId="639" priority="1753" stopIfTrue="1" operator="equal">
      <formula>$A$33</formula>
    </cfRule>
  </conditionalFormatting>
  <conditionalFormatting sqref="DB13">
    <cfRule type="cellIs" dxfId="638" priority="1752" stopIfTrue="1" operator="equal">
      <formula>$A$33</formula>
    </cfRule>
  </conditionalFormatting>
  <conditionalFormatting sqref="DB13">
    <cfRule type="cellIs" dxfId="637" priority="1751" stopIfTrue="1" operator="equal">
      <formula>$A$33</formula>
    </cfRule>
  </conditionalFormatting>
  <conditionalFormatting sqref="DB13">
    <cfRule type="cellIs" dxfId="636" priority="1750" stopIfTrue="1" operator="equal">
      <formula>$A$33</formula>
    </cfRule>
  </conditionalFormatting>
  <conditionalFormatting sqref="AS17">
    <cfRule type="cellIs" dxfId="635" priority="1749" stopIfTrue="1" operator="equal">
      <formula>$A$32</formula>
    </cfRule>
  </conditionalFormatting>
  <conditionalFormatting sqref="AS17">
    <cfRule type="cellIs" dxfId="634" priority="1746" stopIfTrue="1" operator="equal">
      <formula>$A$32</formula>
    </cfRule>
  </conditionalFormatting>
  <conditionalFormatting sqref="AS17">
    <cfRule type="cellIs" dxfId="633" priority="1743" stopIfTrue="1" operator="equal">
      <formula>$A$32</formula>
    </cfRule>
  </conditionalFormatting>
  <conditionalFormatting sqref="AS16">
    <cfRule type="cellIs" dxfId="632" priority="1742" stopIfTrue="1" operator="equal">
      <formula>$A$32</formula>
    </cfRule>
  </conditionalFormatting>
  <conditionalFormatting sqref="AS16:AS19">
    <cfRule type="cellIs" dxfId="631" priority="1741" stopIfTrue="1" operator="equal">
      <formula>$A$33</formula>
    </cfRule>
  </conditionalFormatting>
  <conditionalFormatting sqref="AS14:AS15">
    <cfRule type="cellIs" dxfId="630" priority="1740" stopIfTrue="1" operator="equal">
      <formula>$A$33</formula>
    </cfRule>
  </conditionalFormatting>
  <conditionalFormatting sqref="AS17">
    <cfRule type="cellIs" dxfId="629" priority="1739" stopIfTrue="1" operator="equal">
      <formula>$A$32</formula>
    </cfRule>
  </conditionalFormatting>
  <conditionalFormatting sqref="AS16:AS19">
    <cfRule type="cellIs" dxfId="628" priority="1738" stopIfTrue="1" operator="equal">
      <formula>$A$33</formula>
    </cfRule>
  </conditionalFormatting>
  <conditionalFormatting sqref="AS14:AS15">
    <cfRule type="cellIs" dxfId="627" priority="1737" stopIfTrue="1" operator="equal">
      <formula>$A$33</formula>
    </cfRule>
  </conditionalFormatting>
  <conditionalFormatting sqref="AS17">
    <cfRule type="cellIs" dxfId="626" priority="1736" stopIfTrue="1" operator="equal">
      <formula>$A$32</formula>
    </cfRule>
  </conditionalFormatting>
  <conditionalFormatting sqref="AS16">
    <cfRule type="cellIs" dxfId="625" priority="1735" stopIfTrue="1" operator="equal">
      <formula>$A$32</formula>
    </cfRule>
  </conditionalFormatting>
  <conditionalFormatting sqref="AS13">
    <cfRule type="cellIs" dxfId="624" priority="1734" stopIfTrue="1" operator="equal">
      <formula>$A$33</formula>
    </cfRule>
  </conditionalFormatting>
  <conditionalFormatting sqref="AS13">
    <cfRule type="cellIs" dxfId="623" priority="1733" stopIfTrue="1" operator="equal">
      <formula>$A$33</formula>
    </cfRule>
  </conditionalFormatting>
  <conditionalFormatting sqref="AS13">
    <cfRule type="cellIs" dxfId="622" priority="1732" stopIfTrue="1" operator="equal">
      <formula>$A$33</formula>
    </cfRule>
  </conditionalFormatting>
  <conditionalFormatting sqref="AS13">
    <cfRule type="cellIs" dxfId="621" priority="1731" stopIfTrue="1" operator="equal">
      <formula>$A$33</formula>
    </cfRule>
  </conditionalFormatting>
  <conditionalFormatting sqref="AS13">
    <cfRule type="cellIs" dxfId="620" priority="1730" stopIfTrue="1" operator="equal">
      <formula>$A$33</formula>
    </cfRule>
  </conditionalFormatting>
  <conditionalFormatting sqref="AS13">
    <cfRule type="cellIs" dxfId="619" priority="1729" stopIfTrue="1" operator="equal">
      <formula>$A$33</formula>
    </cfRule>
  </conditionalFormatting>
  <conditionalFormatting sqref="AS17">
    <cfRule type="cellIs" dxfId="618" priority="1726" stopIfTrue="1" operator="equal">
      <formula>$A$32</formula>
    </cfRule>
  </conditionalFormatting>
  <conditionalFormatting sqref="AS17">
    <cfRule type="cellIs" dxfId="617" priority="1723" stopIfTrue="1" operator="equal">
      <formula>$A$32</formula>
    </cfRule>
  </conditionalFormatting>
  <conditionalFormatting sqref="AS16">
    <cfRule type="cellIs" dxfId="616" priority="1722" stopIfTrue="1" operator="equal">
      <formula>$A$32</formula>
    </cfRule>
  </conditionalFormatting>
  <conditionalFormatting sqref="AS13">
    <cfRule type="cellIs" dxfId="615" priority="1721" stopIfTrue="1" operator="equal">
      <formula>$A$33</formula>
    </cfRule>
  </conditionalFormatting>
  <conditionalFormatting sqref="AS13">
    <cfRule type="cellIs" dxfId="614" priority="1720" stopIfTrue="1" operator="equal">
      <formula>$A$33</formula>
    </cfRule>
  </conditionalFormatting>
  <conditionalFormatting sqref="AS13">
    <cfRule type="cellIs" dxfId="613" priority="1719" stopIfTrue="1" operator="equal">
      <formula>$A$33</formula>
    </cfRule>
  </conditionalFormatting>
  <conditionalFormatting sqref="AS13">
    <cfRule type="cellIs" dxfId="612" priority="1718" stopIfTrue="1" operator="equal">
      <formula>$A$33</formula>
    </cfRule>
  </conditionalFormatting>
  <conditionalFormatting sqref="AS13">
    <cfRule type="cellIs" dxfId="611" priority="1717" stopIfTrue="1" operator="equal">
      <formula>$A$33</formula>
    </cfRule>
  </conditionalFormatting>
  <conditionalFormatting sqref="AS13">
    <cfRule type="cellIs" dxfId="610" priority="1716" stopIfTrue="1" operator="equal">
      <formula>$A$33</formula>
    </cfRule>
  </conditionalFormatting>
  <conditionalFormatting sqref="AS17">
    <cfRule type="cellIs" dxfId="609" priority="1713" stopIfTrue="1" operator="equal">
      <formula>$A$32</formula>
    </cfRule>
  </conditionalFormatting>
  <conditionalFormatting sqref="AS17">
    <cfRule type="cellIs" dxfId="608" priority="1710" stopIfTrue="1" operator="equal">
      <formula>$A$32</formula>
    </cfRule>
  </conditionalFormatting>
  <conditionalFormatting sqref="AS16">
    <cfRule type="cellIs" dxfId="607" priority="1709" stopIfTrue="1" operator="equal">
      <formula>$A$32</formula>
    </cfRule>
  </conditionalFormatting>
  <conditionalFormatting sqref="AS13">
    <cfRule type="cellIs" dxfId="606" priority="1708" stopIfTrue="1" operator="equal">
      <formula>$A$33</formula>
    </cfRule>
  </conditionalFormatting>
  <conditionalFormatting sqref="AS13">
    <cfRule type="cellIs" dxfId="605" priority="1707" stopIfTrue="1" operator="equal">
      <formula>$A$33</formula>
    </cfRule>
  </conditionalFormatting>
  <conditionalFormatting sqref="AS13">
    <cfRule type="cellIs" dxfId="604" priority="1706" stopIfTrue="1" operator="equal">
      <formula>$A$33</formula>
    </cfRule>
  </conditionalFormatting>
  <conditionalFormatting sqref="AS13">
    <cfRule type="cellIs" dxfId="603" priority="1705" stopIfTrue="1" operator="equal">
      <formula>$A$33</formula>
    </cfRule>
  </conditionalFormatting>
  <conditionalFormatting sqref="AS13">
    <cfRule type="cellIs" dxfId="602" priority="1704" stopIfTrue="1" operator="equal">
      <formula>$A$33</formula>
    </cfRule>
  </conditionalFormatting>
  <conditionalFormatting sqref="AS13">
    <cfRule type="cellIs" dxfId="601" priority="1703" stopIfTrue="1" operator="equal">
      <formula>$A$33</formula>
    </cfRule>
  </conditionalFormatting>
  <conditionalFormatting sqref="AS17">
    <cfRule type="cellIs" dxfId="600" priority="1700" stopIfTrue="1" operator="equal">
      <formula>$A$32</formula>
    </cfRule>
  </conditionalFormatting>
  <conditionalFormatting sqref="AS17">
    <cfRule type="cellIs" dxfId="599" priority="1697" stopIfTrue="1" operator="equal">
      <formula>$A$32</formula>
    </cfRule>
  </conditionalFormatting>
  <conditionalFormatting sqref="AS16">
    <cfRule type="cellIs" dxfId="598" priority="1696" stopIfTrue="1" operator="equal">
      <formula>$A$32</formula>
    </cfRule>
  </conditionalFormatting>
  <conditionalFormatting sqref="AS13">
    <cfRule type="cellIs" dxfId="597" priority="1695" stopIfTrue="1" operator="equal">
      <formula>$A$33</formula>
    </cfRule>
  </conditionalFormatting>
  <conditionalFormatting sqref="AS13">
    <cfRule type="cellIs" dxfId="596" priority="1694" stopIfTrue="1" operator="equal">
      <formula>$A$33</formula>
    </cfRule>
  </conditionalFormatting>
  <conditionalFormatting sqref="AS13">
    <cfRule type="cellIs" dxfId="595" priority="1693" stopIfTrue="1" operator="equal">
      <formula>$A$33</formula>
    </cfRule>
  </conditionalFormatting>
  <conditionalFormatting sqref="AS13">
    <cfRule type="cellIs" dxfId="594" priority="1692" stopIfTrue="1" operator="equal">
      <formula>$A$33</formula>
    </cfRule>
  </conditionalFormatting>
  <conditionalFormatting sqref="AS13">
    <cfRule type="cellIs" dxfId="593" priority="1691" stopIfTrue="1" operator="equal">
      <formula>$A$33</formula>
    </cfRule>
  </conditionalFormatting>
  <conditionalFormatting sqref="AS13">
    <cfRule type="cellIs" dxfId="592" priority="1690" stopIfTrue="1" operator="equal">
      <formula>$A$33</formula>
    </cfRule>
  </conditionalFormatting>
  <conditionalFormatting sqref="AS17">
    <cfRule type="cellIs" dxfId="591" priority="1687" stopIfTrue="1" operator="equal">
      <formula>$A$32</formula>
    </cfRule>
  </conditionalFormatting>
  <conditionalFormatting sqref="AS17">
    <cfRule type="cellIs" dxfId="590" priority="1684" stopIfTrue="1" operator="equal">
      <formula>$A$32</formula>
    </cfRule>
  </conditionalFormatting>
  <conditionalFormatting sqref="AS16">
    <cfRule type="cellIs" dxfId="589" priority="1683" stopIfTrue="1" operator="equal">
      <formula>$A$32</formula>
    </cfRule>
  </conditionalFormatting>
  <conditionalFormatting sqref="AS13">
    <cfRule type="cellIs" dxfId="588" priority="1682" stopIfTrue="1" operator="equal">
      <formula>$A$33</formula>
    </cfRule>
  </conditionalFormatting>
  <conditionalFormatting sqref="AS13">
    <cfRule type="cellIs" dxfId="587" priority="1681" stopIfTrue="1" operator="equal">
      <formula>$A$33</formula>
    </cfRule>
  </conditionalFormatting>
  <conditionalFormatting sqref="AS13">
    <cfRule type="cellIs" dxfId="586" priority="1680" stopIfTrue="1" operator="equal">
      <formula>$A$33</formula>
    </cfRule>
  </conditionalFormatting>
  <conditionalFormatting sqref="AS13">
    <cfRule type="cellIs" dxfId="585" priority="1679" stopIfTrue="1" operator="equal">
      <formula>$A$33</formula>
    </cfRule>
  </conditionalFormatting>
  <conditionalFormatting sqref="AS13">
    <cfRule type="cellIs" dxfId="584" priority="1678" stopIfTrue="1" operator="equal">
      <formula>$A$33</formula>
    </cfRule>
  </conditionalFormatting>
  <conditionalFormatting sqref="AS13">
    <cfRule type="cellIs" dxfId="583" priority="1677" stopIfTrue="1" operator="equal">
      <formula>$A$33</formula>
    </cfRule>
  </conditionalFormatting>
  <conditionalFormatting sqref="AS17">
    <cfRule type="cellIs" dxfId="582" priority="1674" stopIfTrue="1" operator="equal">
      <formula>$A$32</formula>
    </cfRule>
  </conditionalFormatting>
  <conditionalFormatting sqref="AS17">
    <cfRule type="cellIs" dxfId="581" priority="1671" stopIfTrue="1" operator="equal">
      <formula>$A$32</formula>
    </cfRule>
  </conditionalFormatting>
  <conditionalFormatting sqref="AS16">
    <cfRule type="cellIs" dxfId="580" priority="1670" stopIfTrue="1" operator="equal">
      <formula>$A$32</formula>
    </cfRule>
  </conditionalFormatting>
  <conditionalFormatting sqref="AS13">
    <cfRule type="cellIs" dxfId="579" priority="1669" stopIfTrue="1" operator="equal">
      <formula>$A$33</formula>
    </cfRule>
  </conditionalFormatting>
  <conditionalFormatting sqref="AS13">
    <cfRule type="cellIs" dxfId="578" priority="1668" stopIfTrue="1" operator="equal">
      <formula>$A$33</formula>
    </cfRule>
  </conditionalFormatting>
  <conditionalFormatting sqref="AS13">
    <cfRule type="cellIs" dxfId="577" priority="1667" stopIfTrue="1" operator="equal">
      <formula>$A$33</formula>
    </cfRule>
  </conditionalFormatting>
  <conditionalFormatting sqref="AS13">
    <cfRule type="cellIs" dxfId="576" priority="1666" stopIfTrue="1" operator="equal">
      <formula>$A$33</formula>
    </cfRule>
  </conditionalFormatting>
  <conditionalFormatting sqref="AS13">
    <cfRule type="cellIs" dxfId="575" priority="1665" stopIfTrue="1" operator="equal">
      <formula>$A$33</formula>
    </cfRule>
  </conditionalFormatting>
  <conditionalFormatting sqref="AS13">
    <cfRule type="cellIs" dxfId="574" priority="1664" stopIfTrue="1" operator="equal">
      <formula>$A$33</formula>
    </cfRule>
  </conditionalFormatting>
  <conditionalFormatting sqref="AU17">
    <cfRule type="cellIs" dxfId="573" priority="1663" stopIfTrue="1" operator="equal">
      <formula>$A$32</formula>
    </cfRule>
  </conditionalFormatting>
  <conditionalFormatting sqref="AU17">
    <cfRule type="cellIs" dxfId="572" priority="1660" stopIfTrue="1" operator="equal">
      <formula>$A$32</formula>
    </cfRule>
  </conditionalFormatting>
  <conditionalFormatting sqref="AU17">
    <cfRule type="cellIs" dxfId="571" priority="1657" stopIfTrue="1" operator="equal">
      <formula>$A$32</formula>
    </cfRule>
  </conditionalFormatting>
  <conditionalFormatting sqref="AU16">
    <cfRule type="cellIs" dxfId="570" priority="1656" stopIfTrue="1" operator="equal">
      <formula>$A$32</formula>
    </cfRule>
  </conditionalFormatting>
  <conditionalFormatting sqref="AU14:AU15">
    <cfRule type="cellIs" dxfId="569" priority="1654" stopIfTrue="1" operator="equal">
      <formula>$A$33</formula>
    </cfRule>
  </conditionalFormatting>
  <conditionalFormatting sqref="AU17">
    <cfRule type="cellIs" dxfId="568" priority="1653" stopIfTrue="1" operator="equal">
      <formula>$A$32</formula>
    </cfRule>
  </conditionalFormatting>
  <conditionalFormatting sqref="AU14:AU15">
    <cfRule type="cellIs" dxfId="567" priority="1651" stopIfTrue="1" operator="equal">
      <formula>$A$33</formula>
    </cfRule>
  </conditionalFormatting>
  <conditionalFormatting sqref="AU17">
    <cfRule type="cellIs" dxfId="566" priority="1650" stopIfTrue="1" operator="equal">
      <formula>$A$32</formula>
    </cfRule>
  </conditionalFormatting>
  <conditionalFormatting sqref="AU16">
    <cfRule type="cellIs" dxfId="565" priority="1649" stopIfTrue="1" operator="equal">
      <formula>$A$32</formula>
    </cfRule>
  </conditionalFormatting>
  <conditionalFormatting sqref="AU13">
    <cfRule type="cellIs" dxfId="564" priority="1648" stopIfTrue="1" operator="equal">
      <formula>$A$33</formula>
    </cfRule>
  </conditionalFormatting>
  <conditionalFormatting sqref="AU13">
    <cfRule type="cellIs" dxfId="563" priority="1647" stopIfTrue="1" operator="equal">
      <formula>$A$33</formula>
    </cfRule>
  </conditionalFormatting>
  <conditionalFormatting sqref="AU13">
    <cfRule type="cellIs" dxfId="562" priority="1646" stopIfTrue="1" operator="equal">
      <formula>$A$33</formula>
    </cfRule>
  </conditionalFormatting>
  <conditionalFormatting sqref="AU13">
    <cfRule type="cellIs" dxfId="561" priority="1645" stopIfTrue="1" operator="equal">
      <formula>$A$33</formula>
    </cfRule>
  </conditionalFormatting>
  <conditionalFormatting sqref="AU13">
    <cfRule type="cellIs" dxfId="560" priority="1644" stopIfTrue="1" operator="equal">
      <formula>$A$33</formula>
    </cfRule>
  </conditionalFormatting>
  <conditionalFormatting sqref="AU13">
    <cfRule type="cellIs" dxfId="559" priority="1643" stopIfTrue="1" operator="equal">
      <formula>$A$33</formula>
    </cfRule>
  </conditionalFormatting>
  <conditionalFormatting sqref="AU17">
    <cfRule type="cellIs" dxfId="558" priority="1640" stopIfTrue="1" operator="equal">
      <formula>$A$32</formula>
    </cfRule>
  </conditionalFormatting>
  <conditionalFormatting sqref="AU17">
    <cfRule type="cellIs" dxfId="557" priority="1637" stopIfTrue="1" operator="equal">
      <formula>$A$32</formula>
    </cfRule>
  </conditionalFormatting>
  <conditionalFormatting sqref="AU16">
    <cfRule type="cellIs" dxfId="556" priority="1636" stopIfTrue="1" operator="equal">
      <formula>$A$32</formula>
    </cfRule>
  </conditionalFormatting>
  <conditionalFormatting sqref="AU13">
    <cfRule type="cellIs" dxfId="555" priority="1635" stopIfTrue="1" operator="equal">
      <formula>$A$33</formula>
    </cfRule>
  </conditionalFormatting>
  <conditionalFormatting sqref="AU13">
    <cfRule type="cellIs" dxfId="554" priority="1634" stopIfTrue="1" operator="equal">
      <formula>$A$33</formula>
    </cfRule>
  </conditionalFormatting>
  <conditionalFormatting sqref="AU13">
    <cfRule type="cellIs" dxfId="553" priority="1633" stopIfTrue="1" operator="equal">
      <formula>$A$33</formula>
    </cfRule>
  </conditionalFormatting>
  <conditionalFormatting sqref="AU13">
    <cfRule type="cellIs" dxfId="552" priority="1632" stopIfTrue="1" operator="equal">
      <formula>$A$33</formula>
    </cfRule>
  </conditionalFormatting>
  <conditionalFormatting sqref="AU13">
    <cfRule type="cellIs" dxfId="551" priority="1631" stopIfTrue="1" operator="equal">
      <formula>$A$33</formula>
    </cfRule>
  </conditionalFormatting>
  <conditionalFormatting sqref="AU13">
    <cfRule type="cellIs" dxfId="550" priority="1630" stopIfTrue="1" operator="equal">
      <formula>$A$33</formula>
    </cfRule>
  </conditionalFormatting>
  <conditionalFormatting sqref="AU17">
    <cfRule type="cellIs" dxfId="549" priority="1627" stopIfTrue="1" operator="equal">
      <formula>$A$32</formula>
    </cfRule>
  </conditionalFormatting>
  <conditionalFormatting sqref="AU17">
    <cfRule type="cellIs" dxfId="548" priority="1624" stopIfTrue="1" operator="equal">
      <formula>$A$32</formula>
    </cfRule>
  </conditionalFormatting>
  <conditionalFormatting sqref="AU16">
    <cfRule type="cellIs" dxfId="547" priority="1623" stopIfTrue="1" operator="equal">
      <formula>$A$32</formula>
    </cfRule>
  </conditionalFormatting>
  <conditionalFormatting sqref="AU13">
    <cfRule type="cellIs" dxfId="546" priority="1622" stopIfTrue="1" operator="equal">
      <formula>$A$33</formula>
    </cfRule>
  </conditionalFormatting>
  <conditionalFormatting sqref="AU13">
    <cfRule type="cellIs" dxfId="545" priority="1621" stopIfTrue="1" operator="equal">
      <formula>$A$33</formula>
    </cfRule>
  </conditionalFormatting>
  <conditionalFormatting sqref="AU13">
    <cfRule type="cellIs" dxfId="544" priority="1620" stopIfTrue="1" operator="equal">
      <formula>$A$33</formula>
    </cfRule>
  </conditionalFormatting>
  <conditionalFormatting sqref="AU13">
    <cfRule type="cellIs" dxfId="543" priority="1619" stopIfTrue="1" operator="equal">
      <formula>$A$33</formula>
    </cfRule>
  </conditionalFormatting>
  <conditionalFormatting sqref="AU13">
    <cfRule type="cellIs" dxfId="542" priority="1618" stopIfTrue="1" operator="equal">
      <formula>$A$33</formula>
    </cfRule>
  </conditionalFormatting>
  <conditionalFormatting sqref="AU13">
    <cfRule type="cellIs" dxfId="541" priority="1617" stopIfTrue="1" operator="equal">
      <formula>$A$33</formula>
    </cfRule>
  </conditionalFormatting>
  <conditionalFormatting sqref="AU17">
    <cfRule type="cellIs" dxfId="540" priority="1614" stopIfTrue="1" operator="equal">
      <formula>$A$32</formula>
    </cfRule>
  </conditionalFormatting>
  <conditionalFormatting sqref="AU17">
    <cfRule type="cellIs" dxfId="539" priority="1611" stopIfTrue="1" operator="equal">
      <formula>$A$32</formula>
    </cfRule>
  </conditionalFormatting>
  <conditionalFormatting sqref="AU16">
    <cfRule type="cellIs" dxfId="538" priority="1610" stopIfTrue="1" operator="equal">
      <formula>$A$32</formula>
    </cfRule>
  </conditionalFormatting>
  <conditionalFormatting sqref="AU13">
    <cfRule type="cellIs" dxfId="537" priority="1609" stopIfTrue="1" operator="equal">
      <formula>$A$33</formula>
    </cfRule>
  </conditionalFormatting>
  <conditionalFormatting sqref="AU13">
    <cfRule type="cellIs" dxfId="536" priority="1608" stopIfTrue="1" operator="equal">
      <formula>$A$33</formula>
    </cfRule>
  </conditionalFormatting>
  <conditionalFormatting sqref="AU13">
    <cfRule type="cellIs" dxfId="535" priority="1607" stopIfTrue="1" operator="equal">
      <formula>$A$33</formula>
    </cfRule>
  </conditionalFormatting>
  <conditionalFormatting sqref="AU13">
    <cfRule type="cellIs" dxfId="534" priority="1606" stopIfTrue="1" operator="equal">
      <formula>$A$33</formula>
    </cfRule>
  </conditionalFormatting>
  <conditionalFormatting sqref="AU13">
    <cfRule type="cellIs" dxfId="533" priority="1605" stopIfTrue="1" operator="equal">
      <formula>$A$33</formula>
    </cfRule>
  </conditionalFormatting>
  <conditionalFormatting sqref="AU13">
    <cfRule type="cellIs" dxfId="532" priority="1604" stopIfTrue="1" operator="equal">
      <formula>$A$33</formula>
    </cfRule>
  </conditionalFormatting>
  <conditionalFormatting sqref="AU17">
    <cfRule type="cellIs" dxfId="531" priority="1601" stopIfTrue="1" operator="equal">
      <formula>$A$32</formula>
    </cfRule>
  </conditionalFormatting>
  <conditionalFormatting sqref="AU17">
    <cfRule type="cellIs" dxfId="530" priority="1598" stopIfTrue="1" operator="equal">
      <formula>$A$32</formula>
    </cfRule>
  </conditionalFormatting>
  <conditionalFormatting sqref="AU16">
    <cfRule type="cellIs" dxfId="529" priority="1597" stopIfTrue="1" operator="equal">
      <formula>$A$32</formula>
    </cfRule>
  </conditionalFormatting>
  <conditionalFormatting sqref="AU13">
    <cfRule type="cellIs" dxfId="528" priority="1596" stopIfTrue="1" operator="equal">
      <formula>$A$33</formula>
    </cfRule>
  </conditionalFormatting>
  <conditionalFormatting sqref="AU13">
    <cfRule type="cellIs" dxfId="527" priority="1595" stopIfTrue="1" operator="equal">
      <formula>$A$33</formula>
    </cfRule>
  </conditionalFormatting>
  <conditionalFormatting sqref="AU13">
    <cfRule type="cellIs" dxfId="526" priority="1594" stopIfTrue="1" operator="equal">
      <formula>$A$33</formula>
    </cfRule>
  </conditionalFormatting>
  <conditionalFormatting sqref="AU13">
    <cfRule type="cellIs" dxfId="525" priority="1593" stopIfTrue="1" operator="equal">
      <formula>$A$33</formula>
    </cfRule>
  </conditionalFormatting>
  <conditionalFormatting sqref="AU13">
    <cfRule type="cellIs" dxfId="524" priority="1592" stopIfTrue="1" operator="equal">
      <formula>$A$33</formula>
    </cfRule>
  </conditionalFormatting>
  <conditionalFormatting sqref="AU13">
    <cfRule type="cellIs" dxfId="523" priority="1591" stopIfTrue="1" operator="equal">
      <formula>$A$33</formula>
    </cfRule>
  </conditionalFormatting>
  <conditionalFormatting sqref="AU17">
    <cfRule type="cellIs" dxfId="522" priority="1588" stopIfTrue="1" operator="equal">
      <formula>$A$32</formula>
    </cfRule>
  </conditionalFormatting>
  <conditionalFormatting sqref="AU17">
    <cfRule type="cellIs" dxfId="521" priority="1585" stopIfTrue="1" operator="equal">
      <formula>$A$32</formula>
    </cfRule>
  </conditionalFormatting>
  <conditionalFormatting sqref="AU16">
    <cfRule type="cellIs" dxfId="520" priority="1584" stopIfTrue="1" operator="equal">
      <formula>$A$32</formula>
    </cfRule>
  </conditionalFormatting>
  <conditionalFormatting sqref="AU13">
    <cfRule type="cellIs" dxfId="519" priority="1583" stopIfTrue="1" operator="equal">
      <formula>$A$33</formula>
    </cfRule>
  </conditionalFormatting>
  <conditionalFormatting sqref="AU13">
    <cfRule type="cellIs" dxfId="518" priority="1582" stopIfTrue="1" operator="equal">
      <formula>$A$33</formula>
    </cfRule>
  </conditionalFormatting>
  <conditionalFormatting sqref="AU13">
    <cfRule type="cellIs" dxfId="517" priority="1581" stopIfTrue="1" operator="equal">
      <formula>$A$33</formula>
    </cfRule>
  </conditionalFormatting>
  <conditionalFormatting sqref="AU13">
    <cfRule type="cellIs" dxfId="516" priority="1580" stopIfTrue="1" operator="equal">
      <formula>$A$33</formula>
    </cfRule>
  </conditionalFormatting>
  <conditionalFormatting sqref="AU13">
    <cfRule type="cellIs" dxfId="515" priority="1579" stopIfTrue="1" operator="equal">
      <formula>$A$33</formula>
    </cfRule>
  </conditionalFormatting>
  <conditionalFormatting sqref="AU13">
    <cfRule type="cellIs" dxfId="514" priority="1578" stopIfTrue="1" operator="equal">
      <formula>$A$33</formula>
    </cfRule>
  </conditionalFormatting>
  <conditionalFormatting sqref="AW11">
    <cfRule type="cellIs" dxfId="513" priority="1577" stopIfTrue="1" operator="equal">
      <formula>$A$32</formula>
    </cfRule>
  </conditionalFormatting>
  <conditionalFormatting sqref="AW11">
    <cfRule type="cellIs" dxfId="512" priority="1575" stopIfTrue="1" operator="equal">
      <formula>$A$32</formula>
    </cfRule>
  </conditionalFormatting>
  <conditionalFormatting sqref="AW11">
    <cfRule type="cellIs" dxfId="511" priority="1573" stopIfTrue="1" operator="equal">
      <formula>$A$32</formula>
    </cfRule>
  </conditionalFormatting>
  <conditionalFormatting sqref="AW11">
    <cfRule type="cellIs" dxfId="510" priority="1571" stopIfTrue="1" operator="equal">
      <formula>$A$32</formula>
    </cfRule>
  </conditionalFormatting>
  <conditionalFormatting sqref="AW11">
    <cfRule type="cellIs" dxfId="509" priority="1569" stopIfTrue="1" operator="equal">
      <formula>$A$32</formula>
    </cfRule>
  </conditionalFormatting>
  <conditionalFormatting sqref="AW11">
    <cfRule type="cellIs" dxfId="508" priority="1567" stopIfTrue="1" operator="equal">
      <formula>$A$32</formula>
    </cfRule>
  </conditionalFormatting>
  <conditionalFormatting sqref="AW11">
    <cfRule type="cellIs" dxfId="507" priority="1565" stopIfTrue="1" operator="equal">
      <formula>$A$32</formula>
    </cfRule>
  </conditionalFormatting>
  <conditionalFormatting sqref="AW11">
    <cfRule type="cellIs" dxfId="506" priority="1563" stopIfTrue="1" operator="equal">
      <formula>$A$32</formula>
    </cfRule>
  </conditionalFormatting>
  <conditionalFormatting sqref="AW11">
    <cfRule type="cellIs" dxfId="505" priority="1561" stopIfTrue="1" operator="equal">
      <formula>$A$32</formula>
    </cfRule>
  </conditionalFormatting>
  <conditionalFormatting sqref="AW11">
    <cfRule type="cellIs" dxfId="504" priority="1559" stopIfTrue="1" operator="equal">
      <formula>$A$32</formula>
    </cfRule>
  </conditionalFormatting>
  <conditionalFormatting sqref="AW11">
    <cfRule type="cellIs" dxfId="503" priority="1557" stopIfTrue="1" operator="equal">
      <formula>$A$32</formula>
    </cfRule>
  </conditionalFormatting>
  <conditionalFormatting sqref="AW11">
    <cfRule type="cellIs" dxfId="502" priority="1555" stopIfTrue="1" operator="equal">
      <formula>$A$32</formula>
    </cfRule>
  </conditionalFormatting>
  <conditionalFormatting sqref="AW11">
    <cfRule type="cellIs" dxfId="501" priority="1553" stopIfTrue="1" operator="equal">
      <formula>$A$32</formula>
    </cfRule>
  </conditionalFormatting>
  <conditionalFormatting sqref="AW11">
    <cfRule type="cellIs" dxfId="500" priority="1551" stopIfTrue="1" operator="equal">
      <formula>$A$32</formula>
    </cfRule>
  </conditionalFormatting>
  <conditionalFormatting sqref="AW11">
    <cfRule type="cellIs" dxfId="499" priority="1549" stopIfTrue="1" operator="equal">
      <formula>$A$32</formula>
    </cfRule>
  </conditionalFormatting>
  <conditionalFormatting sqref="AW13">
    <cfRule type="cellIs" dxfId="498" priority="1548" stopIfTrue="1" operator="equal">
      <formula>$A$33</formula>
    </cfRule>
  </conditionalFormatting>
  <conditionalFormatting sqref="AW13">
    <cfRule type="cellIs" dxfId="497" priority="1547" stopIfTrue="1" operator="equal">
      <formula>$A$33</formula>
    </cfRule>
  </conditionalFormatting>
  <conditionalFormatting sqref="AW13">
    <cfRule type="cellIs" dxfId="496" priority="1546" stopIfTrue="1" operator="equal">
      <formula>$A$33</formula>
    </cfRule>
  </conditionalFormatting>
  <conditionalFormatting sqref="AW13">
    <cfRule type="cellIs" dxfId="495" priority="1545" stopIfTrue="1" operator="equal">
      <formula>$A$33</formula>
    </cfRule>
  </conditionalFormatting>
  <conditionalFormatting sqref="AW13">
    <cfRule type="cellIs" dxfId="494" priority="1544" stopIfTrue="1" operator="equal">
      <formula>$A$33</formula>
    </cfRule>
  </conditionalFormatting>
  <conditionalFormatting sqref="AW13">
    <cfRule type="cellIs" dxfId="493" priority="1543" stopIfTrue="1" operator="equal">
      <formula>$A$33</formula>
    </cfRule>
  </conditionalFormatting>
  <conditionalFormatting sqref="AW13">
    <cfRule type="cellIs" dxfId="492" priority="1542" stopIfTrue="1" operator="equal">
      <formula>$A$33</formula>
    </cfRule>
  </conditionalFormatting>
  <conditionalFormatting sqref="AW13">
    <cfRule type="cellIs" dxfId="491" priority="1541" stopIfTrue="1" operator="equal">
      <formula>$A$33</formula>
    </cfRule>
  </conditionalFormatting>
  <conditionalFormatting sqref="AW13">
    <cfRule type="cellIs" dxfId="490" priority="1540" stopIfTrue="1" operator="equal">
      <formula>$A$33</formula>
    </cfRule>
  </conditionalFormatting>
  <conditionalFormatting sqref="AW13">
    <cfRule type="cellIs" dxfId="489" priority="1539" stopIfTrue="1" operator="equal">
      <formula>$A$33</formula>
    </cfRule>
  </conditionalFormatting>
  <conditionalFormatting sqref="AW13">
    <cfRule type="cellIs" dxfId="488" priority="1538" stopIfTrue="1" operator="equal">
      <formula>$A$33</formula>
    </cfRule>
  </conditionalFormatting>
  <conditionalFormatting sqref="AW13">
    <cfRule type="cellIs" dxfId="487" priority="1537" stopIfTrue="1" operator="equal">
      <formula>$A$33</formula>
    </cfRule>
  </conditionalFormatting>
  <conditionalFormatting sqref="AW13">
    <cfRule type="cellIs" dxfId="486" priority="1536" stopIfTrue="1" operator="equal">
      <formula>$A$33</formula>
    </cfRule>
  </conditionalFormatting>
  <conditionalFormatting sqref="AW13">
    <cfRule type="cellIs" dxfId="485" priority="1535" stopIfTrue="1" operator="equal">
      <formula>$A$33</formula>
    </cfRule>
  </conditionalFormatting>
  <conditionalFormatting sqref="AW13">
    <cfRule type="cellIs" dxfId="484" priority="1534" stopIfTrue="1" operator="equal">
      <formula>$A$33</formula>
    </cfRule>
  </conditionalFormatting>
  <conditionalFormatting sqref="AW13">
    <cfRule type="cellIs" dxfId="483" priority="1533" stopIfTrue="1" operator="equal">
      <formula>$A$33</formula>
    </cfRule>
  </conditionalFormatting>
  <conditionalFormatting sqref="AW13">
    <cfRule type="cellIs" dxfId="482" priority="1532" stopIfTrue="1" operator="equal">
      <formula>$A$33</formula>
    </cfRule>
  </conditionalFormatting>
  <conditionalFormatting sqref="AW13">
    <cfRule type="cellIs" dxfId="481" priority="1531" stopIfTrue="1" operator="equal">
      <formula>$A$33</formula>
    </cfRule>
  </conditionalFormatting>
  <conditionalFormatting sqref="AW13">
    <cfRule type="cellIs" dxfId="480" priority="1530" stopIfTrue="1" operator="equal">
      <formula>$A$33</formula>
    </cfRule>
  </conditionalFormatting>
  <conditionalFormatting sqref="AW13">
    <cfRule type="cellIs" dxfId="479" priority="1529" stopIfTrue="1" operator="equal">
      <formula>$A$33</formula>
    </cfRule>
  </conditionalFormatting>
  <conditionalFormatting sqref="AW13">
    <cfRule type="cellIs" dxfId="478" priority="1528" stopIfTrue="1" operator="equal">
      <formula>$A$33</formula>
    </cfRule>
  </conditionalFormatting>
  <conditionalFormatting sqref="AW13">
    <cfRule type="cellIs" dxfId="477" priority="1527" stopIfTrue="1" operator="equal">
      <formula>$A$33</formula>
    </cfRule>
  </conditionalFormatting>
  <conditionalFormatting sqref="AW13">
    <cfRule type="cellIs" dxfId="476" priority="1526" stopIfTrue="1" operator="equal">
      <formula>$A$33</formula>
    </cfRule>
  </conditionalFormatting>
  <conditionalFormatting sqref="AW13">
    <cfRule type="cellIs" dxfId="475" priority="1525" stopIfTrue="1" operator="equal">
      <formula>$A$33</formula>
    </cfRule>
  </conditionalFormatting>
  <conditionalFormatting sqref="AW13">
    <cfRule type="cellIs" dxfId="474" priority="1524" stopIfTrue="1" operator="equal">
      <formula>$A$33</formula>
    </cfRule>
  </conditionalFormatting>
  <conditionalFormatting sqref="AW13">
    <cfRule type="cellIs" dxfId="473" priority="1523" stopIfTrue="1" operator="equal">
      <formula>$A$33</formula>
    </cfRule>
  </conditionalFormatting>
  <conditionalFormatting sqref="AW13">
    <cfRule type="cellIs" dxfId="472" priority="1522" stopIfTrue="1" operator="equal">
      <formula>$A$33</formula>
    </cfRule>
  </conditionalFormatting>
  <conditionalFormatting sqref="AW13">
    <cfRule type="cellIs" dxfId="471" priority="1521" stopIfTrue="1" operator="equal">
      <formula>$A$33</formula>
    </cfRule>
  </conditionalFormatting>
  <conditionalFormatting sqref="AW13">
    <cfRule type="cellIs" dxfId="470" priority="1520" stopIfTrue="1" operator="equal">
      <formula>$A$33</formula>
    </cfRule>
  </conditionalFormatting>
  <conditionalFormatting sqref="AW13">
    <cfRule type="cellIs" dxfId="469" priority="1519" stopIfTrue="1" operator="equal">
      <formula>$A$33</formula>
    </cfRule>
  </conditionalFormatting>
  <conditionalFormatting sqref="AW13">
    <cfRule type="cellIs" dxfId="468" priority="1518" stopIfTrue="1" operator="equal">
      <formula>$A$33</formula>
    </cfRule>
  </conditionalFormatting>
  <conditionalFormatting sqref="AW13">
    <cfRule type="cellIs" dxfId="467" priority="1517" stopIfTrue="1" operator="equal">
      <formula>$A$33</formula>
    </cfRule>
  </conditionalFormatting>
  <conditionalFormatting sqref="AW13">
    <cfRule type="cellIs" dxfId="466" priority="1516" stopIfTrue="1" operator="equal">
      <formula>$A$33</formula>
    </cfRule>
  </conditionalFormatting>
  <conditionalFormatting sqref="AW13">
    <cfRule type="cellIs" dxfId="465" priority="1515" stopIfTrue="1" operator="equal">
      <formula>$A$33</formula>
    </cfRule>
  </conditionalFormatting>
  <conditionalFormatting sqref="AW13">
    <cfRule type="cellIs" dxfId="464" priority="1514" stopIfTrue="1" operator="equal">
      <formula>$A$33</formula>
    </cfRule>
  </conditionalFormatting>
  <conditionalFormatting sqref="AW13">
    <cfRule type="cellIs" dxfId="463" priority="1513" stopIfTrue="1" operator="equal">
      <formula>$A$33</formula>
    </cfRule>
  </conditionalFormatting>
  <conditionalFormatting sqref="AW13">
    <cfRule type="cellIs" dxfId="462" priority="1512" stopIfTrue="1" operator="equal">
      <formula>$A$33</formula>
    </cfRule>
  </conditionalFormatting>
  <conditionalFormatting sqref="AW13">
    <cfRule type="cellIs" dxfId="461" priority="1511" stopIfTrue="1" operator="equal">
      <formula>$A$33</formula>
    </cfRule>
  </conditionalFormatting>
  <conditionalFormatting sqref="AW13">
    <cfRule type="cellIs" dxfId="460" priority="1510" stopIfTrue="1" operator="equal">
      <formula>$A$33</formula>
    </cfRule>
  </conditionalFormatting>
  <conditionalFormatting sqref="AW13">
    <cfRule type="cellIs" dxfId="459" priority="1509" stopIfTrue="1" operator="equal">
      <formula>$A$33</formula>
    </cfRule>
  </conditionalFormatting>
  <conditionalFormatting sqref="AW13">
    <cfRule type="cellIs" dxfId="458" priority="1508" stopIfTrue="1" operator="equal">
      <formula>$A$33</formula>
    </cfRule>
  </conditionalFormatting>
  <conditionalFormatting sqref="AW13">
    <cfRule type="cellIs" dxfId="457" priority="1507" stopIfTrue="1" operator="equal">
      <formula>$A$33</formula>
    </cfRule>
  </conditionalFormatting>
  <conditionalFormatting sqref="AW13">
    <cfRule type="cellIs" dxfId="456" priority="1506" stopIfTrue="1" operator="equal">
      <formula>$A$33</formula>
    </cfRule>
  </conditionalFormatting>
  <conditionalFormatting sqref="AW13">
    <cfRule type="cellIs" dxfId="455" priority="1505" stopIfTrue="1" operator="equal">
      <formula>$A$33</formula>
    </cfRule>
  </conditionalFormatting>
  <conditionalFormatting sqref="AW13">
    <cfRule type="cellIs" dxfId="454" priority="1504" stopIfTrue="1" operator="equal">
      <formula>$A$33</formula>
    </cfRule>
  </conditionalFormatting>
  <conditionalFormatting sqref="AW13">
    <cfRule type="cellIs" dxfId="453" priority="1503" stopIfTrue="1" operator="equal">
      <formula>$A$33</formula>
    </cfRule>
  </conditionalFormatting>
  <conditionalFormatting sqref="AW13">
    <cfRule type="cellIs" dxfId="452" priority="1502" stopIfTrue="1" operator="equal">
      <formula>$A$33</formula>
    </cfRule>
  </conditionalFormatting>
  <conditionalFormatting sqref="AW13">
    <cfRule type="cellIs" dxfId="451" priority="1501" stopIfTrue="1" operator="equal">
      <formula>$A$33</formula>
    </cfRule>
  </conditionalFormatting>
  <conditionalFormatting sqref="AW13">
    <cfRule type="cellIs" dxfId="450" priority="1500" stopIfTrue="1" operator="equal">
      <formula>$A$33</formula>
    </cfRule>
  </conditionalFormatting>
  <conditionalFormatting sqref="AW13">
    <cfRule type="cellIs" dxfId="449" priority="1499" stopIfTrue="1" operator="equal">
      <formula>$A$33</formula>
    </cfRule>
  </conditionalFormatting>
  <conditionalFormatting sqref="AU16">
    <cfRule type="cellIs" dxfId="448" priority="1442" stopIfTrue="1" operator="equal">
      <formula>$A$33</formula>
    </cfRule>
  </conditionalFormatting>
  <conditionalFormatting sqref="AU16">
    <cfRule type="cellIs" dxfId="447" priority="1441" stopIfTrue="1" operator="equal">
      <formula>$A$33</formula>
    </cfRule>
  </conditionalFormatting>
  <conditionalFormatting sqref="AU16">
    <cfRule type="cellIs" dxfId="446" priority="1440" stopIfTrue="1" operator="equal">
      <formula>$A$32</formula>
    </cfRule>
  </conditionalFormatting>
  <conditionalFormatting sqref="AU16">
    <cfRule type="cellIs" dxfId="445" priority="1439" stopIfTrue="1" operator="equal">
      <formula>$A$33</formula>
    </cfRule>
  </conditionalFormatting>
  <conditionalFormatting sqref="AU16">
    <cfRule type="cellIs" dxfId="444" priority="1438" stopIfTrue="1" operator="equal">
      <formula>$A$33</formula>
    </cfRule>
  </conditionalFormatting>
  <conditionalFormatting sqref="AU16">
    <cfRule type="cellIs" dxfId="443" priority="1437" stopIfTrue="1" operator="equal">
      <formula>$A$32</formula>
    </cfRule>
  </conditionalFormatting>
  <conditionalFormatting sqref="AU16">
    <cfRule type="cellIs" dxfId="442" priority="1436" stopIfTrue="1" operator="equal">
      <formula>$A$33</formula>
    </cfRule>
  </conditionalFormatting>
  <conditionalFormatting sqref="AU16">
    <cfRule type="cellIs" dxfId="441" priority="1435" stopIfTrue="1" operator="equal">
      <formula>$A$33</formula>
    </cfRule>
  </conditionalFormatting>
  <conditionalFormatting sqref="AU16">
    <cfRule type="cellIs" dxfId="440" priority="1434" stopIfTrue="1" operator="equal">
      <formula>$A$32</formula>
    </cfRule>
  </conditionalFormatting>
  <conditionalFormatting sqref="AU16">
    <cfRule type="cellIs" dxfId="439" priority="1433" stopIfTrue="1" operator="equal">
      <formula>$A$33</formula>
    </cfRule>
  </conditionalFormatting>
  <conditionalFormatting sqref="AU16">
    <cfRule type="cellIs" dxfId="438" priority="1432" stopIfTrue="1" operator="equal">
      <formula>$A$33</formula>
    </cfRule>
  </conditionalFormatting>
  <conditionalFormatting sqref="AU16">
    <cfRule type="cellIs" dxfId="437" priority="1431" stopIfTrue="1" operator="equal">
      <formula>$A$32</formula>
    </cfRule>
  </conditionalFormatting>
  <conditionalFormatting sqref="AU16">
    <cfRule type="cellIs" dxfId="436" priority="1430" stopIfTrue="1" operator="equal">
      <formula>$A$33</formula>
    </cfRule>
  </conditionalFormatting>
  <conditionalFormatting sqref="AU16">
    <cfRule type="cellIs" dxfId="435" priority="1429" stopIfTrue="1" operator="equal">
      <formula>$A$33</formula>
    </cfRule>
  </conditionalFormatting>
  <conditionalFormatting sqref="AU16">
    <cfRule type="cellIs" dxfId="434" priority="1428" stopIfTrue="1" operator="equal">
      <formula>$A$32</formula>
    </cfRule>
  </conditionalFormatting>
  <conditionalFormatting sqref="AU16">
    <cfRule type="cellIs" dxfId="433" priority="1427" stopIfTrue="1" operator="equal">
      <formula>$A$33</formula>
    </cfRule>
  </conditionalFormatting>
  <conditionalFormatting sqref="AU16">
    <cfRule type="cellIs" dxfId="432" priority="1426" stopIfTrue="1" operator="equal">
      <formula>$A$33</formula>
    </cfRule>
  </conditionalFormatting>
  <conditionalFormatting sqref="AU16">
    <cfRule type="cellIs" dxfId="431" priority="1425" stopIfTrue="1" operator="equal">
      <formula>$A$32</formula>
    </cfRule>
  </conditionalFormatting>
  <conditionalFormatting sqref="AU16">
    <cfRule type="cellIs" dxfId="430" priority="1424" stopIfTrue="1" operator="equal">
      <formula>$A$33</formula>
    </cfRule>
  </conditionalFormatting>
  <conditionalFormatting sqref="AU16">
    <cfRule type="cellIs" dxfId="429" priority="1423" stopIfTrue="1" operator="equal">
      <formula>$A$33</formula>
    </cfRule>
  </conditionalFormatting>
  <conditionalFormatting sqref="AU16">
    <cfRule type="cellIs" dxfId="428" priority="1422" stopIfTrue="1" operator="equal">
      <formula>$A$32</formula>
    </cfRule>
  </conditionalFormatting>
  <conditionalFormatting sqref="AW16">
    <cfRule type="cellIs" dxfId="427" priority="1421" stopIfTrue="1" operator="equal">
      <formula>$A$33</formula>
    </cfRule>
  </conditionalFormatting>
  <conditionalFormatting sqref="AW16">
    <cfRule type="cellIs" dxfId="426" priority="1420" stopIfTrue="1" operator="equal">
      <formula>$A$33</formula>
    </cfRule>
  </conditionalFormatting>
  <conditionalFormatting sqref="AW16">
    <cfRule type="cellIs" dxfId="425" priority="1419" stopIfTrue="1" operator="equal">
      <formula>$A$32</formula>
    </cfRule>
  </conditionalFormatting>
  <conditionalFormatting sqref="AW16">
    <cfRule type="cellIs" dxfId="424" priority="1418" stopIfTrue="1" operator="equal">
      <formula>$A$33</formula>
    </cfRule>
  </conditionalFormatting>
  <conditionalFormatting sqref="AW16">
    <cfRule type="cellIs" dxfId="423" priority="1417" stopIfTrue="1" operator="equal">
      <formula>$A$33</formula>
    </cfRule>
  </conditionalFormatting>
  <conditionalFormatting sqref="AW16">
    <cfRule type="cellIs" dxfId="422" priority="1416" stopIfTrue="1" operator="equal">
      <formula>$A$32</formula>
    </cfRule>
  </conditionalFormatting>
  <conditionalFormatting sqref="AW16">
    <cfRule type="cellIs" dxfId="421" priority="1415" stopIfTrue="1" operator="equal">
      <formula>$A$33</formula>
    </cfRule>
  </conditionalFormatting>
  <conditionalFormatting sqref="AW16">
    <cfRule type="cellIs" dxfId="420" priority="1414" stopIfTrue="1" operator="equal">
      <formula>$A$33</formula>
    </cfRule>
  </conditionalFormatting>
  <conditionalFormatting sqref="AW16">
    <cfRule type="cellIs" dxfId="419" priority="1413" stopIfTrue="1" operator="equal">
      <formula>$A$32</formula>
    </cfRule>
  </conditionalFormatting>
  <conditionalFormatting sqref="AW16">
    <cfRule type="cellIs" dxfId="418" priority="1412" stopIfTrue="1" operator="equal">
      <formula>$A$33</formula>
    </cfRule>
  </conditionalFormatting>
  <conditionalFormatting sqref="AW16">
    <cfRule type="cellIs" dxfId="417" priority="1411" stopIfTrue="1" operator="equal">
      <formula>$A$33</formula>
    </cfRule>
  </conditionalFormatting>
  <conditionalFormatting sqref="AW16">
    <cfRule type="cellIs" dxfId="416" priority="1410" stopIfTrue="1" operator="equal">
      <formula>$A$32</formula>
    </cfRule>
  </conditionalFormatting>
  <conditionalFormatting sqref="AW16">
    <cfRule type="cellIs" dxfId="415" priority="1409" stopIfTrue="1" operator="equal">
      <formula>$A$33</formula>
    </cfRule>
  </conditionalFormatting>
  <conditionalFormatting sqref="AW16">
    <cfRule type="cellIs" dxfId="414" priority="1408" stopIfTrue="1" operator="equal">
      <formula>$A$33</formula>
    </cfRule>
  </conditionalFormatting>
  <conditionalFormatting sqref="AW16">
    <cfRule type="cellIs" dxfId="413" priority="1407" stopIfTrue="1" operator="equal">
      <formula>$A$32</formula>
    </cfRule>
  </conditionalFormatting>
  <conditionalFormatting sqref="AW16">
    <cfRule type="cellIs" dxfId="412" priority="1406" stopIfTrue="1" operator="equal">
      <formula>$A$33</formula>
    </cfRule>
  </conditionalFormatting>
  <conditionalFormatting sqref="AW16">
    <cfRule type="cellIs" dxfId="411" priority="1405" stopIfTrue="1" operator="equal">
      <formula>$A$33</formula>
    </cfRule>
  </conditionalFormatting>
  <conditionalFormatting sqref="AW16">
    <cfRule type="cellIs" dxfId="410" priority="1404" stopIfTrue="1" operator="equal">
      <formula>$A$32</formula>
    </cfRule>
  </conditionalFormatting>
  <conditionalFormatting sqref="AW16">
    <cfRule type="cellIs" dxfId="409" priority="1403" stopIfTrue="1" operator="equal">
      <formula>$A$33</formula>
    </cfRule>
  </conditionalFormatting>
  <conditionalFormatting sqref="AW16">
    <cfRule type="cellIs" dxfId="408" priority="1402" stopIfTrue="1" operator="equal">
      <formula>$A$33</formula>
    </cfRule>
  </conditionalFormatting>
  <conditionalFormatting sqref="AW16">
    <cfRule type="cellIs" dxfId="407" priority="1401" stopIfTrue="1" operator="equal">
      <formula>$A$32</formula>
    </cfRule>
  </conditionalFormatting>
  <conditionalFormatting sqref="AU17">
    <cfRule type="cellIs" dxfId="406" priority="1400" stopIfTrue="1" operator="equal">
      <formula>$A$32</formula>
    </cfRule>
  </conditionalFormatting>
  <conditionalFormatting sqref="AU17">
    <cfRule type="cellIs" dxfId="405" priority="1399" stopIfTrue="1" operator="equal">
      <formula>$A$32</formula>
    </cfRule>
  </conditionalFormatting>
  <conditionalFormatting sqref="AU17">
    <cfRule type="cellIs" dxfId="404" priority="1398" stopIfTrue="1" operator="equal">
      <formula>$A$32</formula>
    </cfRule>
  </conditionalFormatting>
  <conditionalFormatting sqref="AU17">
    <cfRule type="cellIs" dxfId="403" priority="1397" stopIfTrue="1" operator="equal">
      <formula>$A$32</formula>
    </cfRule>
  </conditionalFormatting>
  <conditionalFormatting sqref="AU17">
    <cfRule type="cellIs" dxfId="402" priority="1396" stopIfTrue="1" operator="equal">
      <formula>$A$32</formula>
    </cfRule>
  </conditionalFormatting>
  <conditionalFormatting sqref="AU17">
    <cfRule type="cellIs" dxfId="401" priority="1395" stopIfTrue="1" operator="equal">
      <formula>$A$32</formula>
    </cfRule>
  </conditionalFormatting>
  <conditionalFormatting sqref="AU17">
    <cfRule type="cellIs" dxfId="400" priority="1394" stopIfTrue="1" operator="equal">
      <formula>$A$32</formula>
    </cfRule>
  </conditionalFormatting>
  <conditionalFormatting sqref="AU17">
    <cfRule type="cellIs" dxfId="399" priority="1393" stopIfTrue="1" operator="equal">
      <formula>$A$33</formula>
    </cfRule>
  </conditionalFormatting>
  <conditionalFormatting sqref="AU17">
    <cfRule type="cellIs" dxfId="398" priority="1392" stopIfTrue="1" operator="equal">
      <formula>$A$33</formula>
    </cfRule>
  </conditionalFormatting>
  <conditionalFormatting sqref="AU17">
    <cfRule type="cellIs" dxfId="397" priority="1391" stopIfTrue="1" operator="equal">
      <formula>$A$32</formula>
    </cfRule>
  </conditionalFormatting>
  <conditionalFormatting sqref="AU17">
    <cfRule type="cellIs" dxfId="396" priority="1390" stopIfTrue="1" operator="equal">
      <formula>$A$33</formula>
    </cfRule>
  </conditionalFormatting>
  <conditionalFormatting sqref="AU17">
    <cfRule type="cellIs" dxfId="395" priority="1389" stopIfTrue="1" operator="equal">
      <formula>$A$33</formula>
    </cfRule>
  </conditionalFormatting>
  <conditionalFormatting sqref="AU17">
    <cfRule type="cellIs" dxfId="394" priority="1388" stopIfTrue="1" operator="equal">
      <formula>$A$32</formula>
    </cfRule>
  </conditionalFormatting>
  <conditionalFormatting sqref="AU17">
    <cfRule type="cellIs" dxfId="393" priority="1387" stopIfTrue="1" operator="equal">
      <formula>$A$33</formula>
    </cfRule>
  </conditionalFormatting>
  <conditionalFormatting sqref="AU17">
    <cfRule type="cellIs" dxfId="392" priority="1386" stopIfTrue="1" operator="equal">
      <formula>$A$33</formula>
    </cfRule>
  </conditionalFormatting>
  <conditionalFormatting sqref="AU17">
    <cfRule type="cellIs" dxfId="391" priority="1385" stopIfTrue="1" operator="equal">
      <formula>$A$32</formula>
    </cfRule>
  </conditionalFormatting>
  <conditionalFormatting sqref="AU17">
    <cfRule type="cellIs" dxfId="390" priority="1384" stopIfTrue="1" operator="equal">
      <formula>$A$33</formula>
    </cfRule>
  </conditionalFormatting>
  <conditionalFormatting sqref="AU17">
    <cfRule type="cellIs" dxfId="389" priority="1383" stopIfTrue="1" operator="equal">
      <formula>$A$33</formula>
    </cfRule>
  </conditionalFormatting>
  <conditionalFormatting sqref="AU17">
    <cfRule type="cellIs" dxfId="388" priority="1382" stopIfTrue="1" operator="equal">
      <formula>$A$32</formula>
    </cfRule>
  </conditionalFormatting>
  <conditionalFormatting sqref="AU17">
    <cfRule type="cellIs" dxfId="387" priority="1381" stopIfTrue="1" operator="equal">
      <formula>$A$33</formula>
    </cfRule>
  </conditionalFormatting>
  <conditionalFormatting sqref="AU17">
    <cfRule type="cellIs" dxfId="386" priority="1380" stopIfTrue="1" operator="equal">
      <formula>$A$33</formula>
    </cfRule>
  </conditionalFormatting>
  <conditionalFormatting sqref="AU17">
    <cfRule type="cellIs" dxfId="385" priority="1379" stopIfTrue="1" operator="equal">
      <formula>$A$32</formula>
    </cfRule>
  </conditionalFormatting>
  <conditionalFormatting sqref="AU17">
    <cfRule type="cellIs" dxfId="384" priority="1378" stopIfTrue="1" operator="equal">
      <formula>$A$33</formula>
    </cfRule>
  </conditionalFormatting>
  <conditionalFormatting sqref="AU17">
    <cfRule type="cellIs" dxfId="383" priority="1377" stopIfTrue="1" operator="equal">
      <formula>$A$33</formula>
    </cfRule>
  </conditionalFormatting>
  <conditionalFormatting sqref="AU17">
    <cfRule type="cellIs" dxfId="382" priority="1376" stopIfTrue="1" operator="equal">
      <formula>$A$32</formula>
    </cfRule>
  </conditionalFormatting>
  <conditionalFormatting sqref="AU17">
    <cfRule type="cellIs" dxfId="381" priority="1375" stopIfTrue="1" operator="equal">
      <formula>$A$33</formula>
    </cfRule>
  </conditionalFormatting>
  <conditionalFormatting sqref="AU17">
    <cfRule type="cellIs" dxfId="380" priority="1374" stopIfTrue="1" operator="equal">
      <formula>$A$33</formula>
    </cfRule>
  </conditionalFormatting>
  <conditionalFormatting sqref="AU17">
    <cfRule type="cellIs" dxfId="379" priority="1373" stopIfTrue="1" operator="equal">
      <formula>$A$32</formula>
    </cfRule>
  </conditionalFormatting>
  <conditionalFormatting sqref="AW17">
    <cfRule type="cellIs" dxfId="378" priority="1372" stopIfTrue="1" operator="equal">
      <formula>$A$33</formula>
    </cfRule>
  </conditionalFormatting>
  <conditionalFormatting sqref="AW17">
    <cfRule type="cellIs" dxfId="377" priority="1371" stopIfTrue="1" operator="equal">
      <formula>$A$33</formula>
    </cfRule>
  </conditionalFormatting>
  <conditionalFormatting sqref="AW17">
    <cfRule type="cellIs" dxfId="376" priority="1370" stopIfTrue="1" operator="equal">
      <formula>$A$32</formula>
    </cfRule>
  </conditionalFormatting>
  <conditionalFormatting sqref="AW17">
    <cfRule type="cellIs" dxfId="375" priority="1369" stopIfTrue="1" operator="equal">
      <formula>$A$33</formula>
    </cfRule>
  </conditionalFormatting>
  <conditionalFormatting sqref="AW17">
    <cfRule type="cellIs" dxfId="374" priority="1368" stopIfTrue="1" operator="equal">
      <formula>$A$33</formula>
    </cfRule>
  </conditionalFormatting>
  <conditionalFormatting sqref="AW17">
    <cfRule type="cellIs" dxfId="373" priority="1367" stopIfTrue="1" operator="equal">
      <formula>$A$32</formula>
    </cfRule>
  </conditionalFormatting>
  <conditionalFormatting sqref="AW17">
    <cfRule type="cellIs" dxfId="372" priority="1366" stopIfTrue="1" operator="equal">
      <formula>$A$33</formula>
    </cfRule>
  </conditionalFormatting>
  <conditionalFormatting sqref="AW17">
    <cfRule type="cellIs" dxfId="371" priority="1365" stopIfTrue="1" operator="equal">
      <formula>$A$33</formula>
    </cfRule>
  </conditionalFormatting>
  <conditionalFormatting sqref="AW17">
    <cfRule type="cellIs" dxfId="370" priority="1364" stopIfTrue="1" operator="equal">
      <formula>$A$32</formula>
    </cfRule>
  </conditionalFormatting>
  <conditionalFormatting sqref="AW17">
    <cfRule type="cellIs" dxfId="369" priority="1363" stopIfTrue="1" operator="equal">
      <formula>$A$33</formula>
    </cfRule>
  </conditionalFormatting>
  <conditionalFormatting sqref="AW17">
    <cfRule type="cellIs" dxfId="368" priority="1362" stopIfTrue="1" operator="equal">
      <formula>$A$33</formula>
    </cfRule>
  </conditionalFormatting>
  <conditionalFormatting sqref="AW17">
    <cfRule type="cellIs" dxfId="367" priority="1361" stopIfTrue="1" operator="equal">
      <formula>$A$32</formula>
    </cfRule>
  </conditionalFormatting>
  <conditionalFormatting sqref="AW17">
    <cfRule type="cellIs" dxfId="366" priority="1360" stopIfTrue="1" operator="equal">
      <formula>$A$33</formula>
    </cfRule>
  </conditionalFormatting>
  <conditionalFormatting sqref="AW17">
    <cfRule type="cellIs" dxfId="365" priority="1359" stopIfTrue="1" operator="equal">
      <formula>$A$33</formula>
    </cfRule>
  </conditionalFormatting>
  <conditionalFormatting sqref="AW17">
    <cfRule type="cellIs" dxfId="364" priority="1358" stopIfTrue="1" operator="equal">
      <formula>$A$32</formula>
    </cfRule>
  </conditionalFormatting>
  <conditionalFormatting sqref="AW17">
    <cfRule type="cellIs" dxfId="363" priority="1357" stopIfTrue="1" operator="equal">
      <formula>$A$33</formula>
    </cfRule>
  </conditionalFormatting>
  <conditionalFormatting sqref="AW17">
    <cfRule type="cellIs" dxfId="362" priority="1356" stopIfTrue="1" operator="equal">
      <formula>$A$33</formula>
    </cfRule>
  </conditionalFormatting>
  <conditionalFormatting sqref="AW17">
    <cfRule type="cellIs" dxfId="361" priority="1355" stopIfTrue="1" operator="equal">
      <formula>$A$32</formula>
    </cfRule>
  </conditionalFormatting>
  <conditionalFormatting sqref="AW17">
    <cfRule type="cellIs" dxfId="360" priority="1354" stopIfTrue="1" operator="equal">
      <formula>$A$33</formula>
    </cfRule>
  </conditionalFormatting>
  <conditionalFormatting sqref="AW17">
    <cfRule type="cellIs" dxfId="359" priority="1353" stopIfTrue="1" operator="equal">
      <formula>$A$33</formula>
    </cfRule>
  </conditionalFormatting>
  <conditionalFormatting sqref="AW17">
    <cfRule type="cellIs" dxfId="358" priority="1352" stopIfTrue="1" operator="equal">
      <formula>$A$32</formula>
    </cfRule>
  </conditionalFormatting>
  <conditionalFormatting sqref="AU18">
    <cfRule type="cellIs" dxfId="357" priority="1351" stopIfTrue="1" operator="equal">
      <formula>$A$33</formula>
    </cfRule>
  </conditionalFormatting>
  <conditionalFormatting sqref="AU18">
    <cfRule type="cellIs" dxfId="356" priority="1350" stopIfTrue="1" operator="equal">
      <formula>$A$33</formula>
    </cfRule>
  </conditionalFormatting>
  <conditionalFormatting sqref="AU18">
    <cfRule type="cellIs" dxfId="355" priority="1349" stopIfTrue="1" operator="equal">
      <formula>$A$33</formula>
    </cfRule>
  </conditionalFormatting>
  <conditionalFormatting sqref="AU18">
    <cfRule type="cellIs" dxfId="354" priority="1348" stopIfTrue="1" operator="equal">
      <formula>$A$33</formula>
    </cfRule>
  </conditionalFormatting>
  <conditionalFormatting sqref="AU18">
    <cfRule type="cellIs" dxfId="353" priority="1347" stopIfTrue="1" operator="equal">
      <formula>$A$33</formula>
    </cfRule>
  </conditionalFormatting>
  <conditionalFormatting sqref="AU18">
    <cfRule type="cellIs" dxfId="352" priority="1346" stopIfTrue="1" operator="equal">
      <formula>$A$33</formula>
    </cfRule>
  </conditionalFormatting>
  <conditionalFormatting sqref="AU18">
    <cfRule type="cellIs" dxfId="351" priority="1345" stopIfTrue="1" operator="equal">
      <formula>$A$33</formula>
    </cfRule>
  </conditionalFormatting>
  <conditionalFormatting sqref="AU18">
    <cfRule type="cellIs" dxfId="350" priority="1344" stopIfTrue="1" operator="equal">
      <formula>$A$33</formula>
    </cfRule>
  </conditionalFormatting>
  <conditionalFormatting sqref="AU18">
    <cfRule type="cellIs" dxfId="349" priority="1343" stopIfTrue="1" operator="equal">
      <formula>$A$33</formula>
    </cfRule>
  </conditionalFormatting>
  <conditionalFormatting sqref="AU18">
    <cfRule type="cellIs" dxfId="348" priority="1342" stopIfTrue="1" operator="equal">
      <formula>$A$33</formula>
    </cfRule>
  </conditionalFormatting>
  <conditionalFormatting sqref="AU18">
    <cfRule type="cellIs" dxfId="347" priority="1341" stopIfTrue="1" operator="equal">
      <formula>$A$33</formula>
    </cfRule>
  </conditionalFormatting>
  <conditionalFormatting sqref="AU18">
    <cfRule type="cellIs" dxfId="346" priority="1340" stopIfTrue="1" operator="equal">
      <formula>$A$33</formula>
    </cfRule>
  </conditionalFormatting>
  <conditionalFormatting sqref="AU18">
    <cfRule type="cellIs" dxfId="345" priority="1339" stopIfTrue="1" operator="equal">
      <formula>$A$33</formula>
    </cfRule>
  </conditionalFormatting>
  <conditionalFormatting sqref="AU18">
    <cfRule type="cellIs" dxfId="344" priority="1338" stopIfTrue="1" operator="equal">
      <formula>$A$33</formula>
    </cfRule>
  </conditionalFormatting>
  <conditionalFormatting sqref="AW18">
    <cfRule type="cellIs" dxfId="343" priority="1337" stopIfTrue="1" operator="equal">
      <formula>$A$33</formula>
    </cfRule>
  </conditionalFormatting>
  <conditionalFormatting sqref="AW18">
    <cfRule type="cellIs" dxfId="342" priority="1336" stopIfTrue="1" operator="equal">
      <formula>$A$33</formula>
    </cfRule>
  </conditionalFormatting>
  <conditionalFormatting sqref="AW18">
    <cfRule type="cellIs" dxfId="341" priority="1335" stopIfTrue="1" operator="equal">
      <formula>$A$33</formula>
    </cfRule>
  </conditionalFormatting>
  <conditionalFormatting sqref="AW18">
    <cfRule type="cellIs" dxfId="340" priority="1334" stopIfTrue="1" operator="equal">
      <formula>$A$33</formula>
    </cfRule>
  </conditionalFormatting>
  <conditionalFormatting sqref="AW18">
    <cfRule type="cellIs" dxfId="339" priority="1333" stopIfTrue="1" operator="equal">
      <formula>$A$33</formula>
    </cfRule>
  </conditionalFormatting>
  <conditionalFormatting sqref="AW18">
    <cfRule type="cellIs" dxfId="338" priority="1332" stopIfTrue="1" operator="equal">
      <formula>$A$33</formula>
    </cfRule>
  </conditionalFormatting>
  <conditionalFormatting sqref="AW18">
    <cfRule type="cellIs" dxfId="337" priority="1331" stopIfTrue="1" operator="equal">
      <formula>$A$33</formula>
    </cfRule>
  </conditionalFormatting>
  <conditionalFormatting sqref="AW18">
    <cfRule type="cellIs" dxfId="336" priority="1330" stopIfTrue="1" operator="equal">
      <formula>$A$33</formula>
    </cfRule>
  </conditionalFormatting>
  <conditionalFormatting sqref="AW18">
    <cfRule type="cellIs" dxfId="335" priority="1329" stopIfTrue="1" operator="equal">
      <formula>$A$33</formula>
    </cfRule>
  </conditionalFormatting>
  <conditionalFormatting sqref="AW18">
    <cfRule type="cellIs" dxfId="334" priority="1328" stopIfTrue="1" operator="equal">
      <formula>$A$33</formula>
    </cfRule>
  </conditionalFormatting>
  <conditionalFormatting sqref="AW18">
    <cfRule type="cellIs" dxfId="333" priority="1327" stopIfTrue="1" operator="equal">
      <formula>$A$33</formula>
    </cfRule>
  </conditionalFormatting>
  <conditionalFormatting sqref="AW18">
    <cfRule type="cellIs" dxfId="332" priority="1326" stopIfTrue="1" operator="equal">
      <formula>$A$33</formula>
    </cfRule>
  </conditionalFormatting>
  <conditionalFormatting sqref="AW18">
    <cfRule type="cellIs" dxfId="331" priority="1325" stopIfTrue="1" operator="equal">
      <formula>$A$33</formula>
    </cfRule>
  </conditionalFormatting>
  <conditionalFormatting sqref="AW18">
    <cfRule type="cellIs" dxfId="330" priority="1324" stopIfTrue="1" operator="equal">
      <formula>$A$33</formula>
    </cfRule>
  </conditionalFormatting>
  <conditionalFormatting sqref="AU19">
    <cfRule type="cellIs" dxfId="329" priority="1323" stopIfTrue="1" operator="equal">
      <formula>$A$32</formula>
    </cfRule>
  </conditionalFormatting>
  <conditionalFormatting sqref="AU19">
    <cfRule type="cellIs" dxfId="328" priority="1322" stopIfTrue="1" operator="equal">
      <formula>$A$33</formula>
    </cfRule>
  </conditionalFormatting>
  <conditionalFormatting sqref="AU19">
    <cfRule type="cellIs" dxfId="327" priority="1321" stopIfTrue="1" operator="equal">
      <formula>$A$32</formula>
    </cfRule>
  </conditionalFormatting>
  <conditionalFormatting sqref="AU19">
    <cfRule type="cellIs" dxfId="326" priority="1320" stopIfTrue="1" operator="equal">
      <formula>$A$33</formula>
    </cfRule>
  </conditionalFormatting>
  <conditionalFormatting sqref="AU19">
    <cfRule type="cellIs" dxfId="325" priority="1319" stopIfTrue="1" operator="equal">
      <formula>$A$32</formula>
    </cfRule>
  </conditionalFormatting>
  <conditionalFormatting sqref="AU19">
    <cfRule type="cellIs" dxfId="324" priority="1318" stopIfTrue="1" operator="equal">
      <formula>$A$33</formula>
    </cfRule>
  </conditionalFormatting>
  <conditionalFormatting sqref="AU19">
    <cfRule type="cellIs" dxfId="323" priority="1317" stopIfTrue="1" operator="equal">
      <formula>$A$32</formula>
    </cfRule>
  </conditionalFormatting>
  <conditionalFormatting sqref="AU19">
    <cfRule type="cellIs" dxfId="322" priority="1316" stopIfTrue="1" operator="equal">
      <formula>$A$33</formula>
    </cfRule>
  </conditionalFormatting>
  <conditionalFormatting sqref="AU19">
    <cfRule type="cellIs" dxfId="321" priority="1315" stopIfTrue="1" operator="equal">
      <formula>$A$32</formula>
    </cfRule>
  </conditionalFormatting>
  <conditionalFormatting sqref="AU19">
    <cfRule type="cellIs" dxfId="320" priority="1314" stopIfTrue="1" operator="equal">
      <formula>$A$33</formula>
    </cfRule>
  </conditionalFormatting>
  <conditionalFormatting sqref="AU19">
    <cfRule type="cellIs" dxfId="319" priority="1313" stopIfTrue="1" operator="equal">
      <formula>$A$32</formula>
    </cfRule>
  </conditionalFormatting>
  <conditionalFormatting sqref="AU19">
    <cfRule type="cellIs" dxfId="318" priority="1312" stopIfTrue="1" operator="equal">
      <formula>$A$33</formula>
    </cfRule>
  </conditionalFormatting>
  <conditionalFormatting sqref="AU19">
    <cfRule type="cellIs" dxfId="317" priority="1311" stopIfTrue="1" operator="equal">
      <formula>$A$32</formula>
    </cfRule>
  </conditionalFormatting>
  <conditionalFormatting sqref="AU19">
    <cfRule type="cellIs" dxfId="316" priority="1310" stopIfTrue="1" operator="equal">
      <formula>$A$33</formula>
    </cfRule>
  </conditionalFormatting>
  <conditionalFormatting sqref="AU19">
    <cfRule type="cellIs" dxfId="315" priority="1309" stopIfTrue="1" operator="equal">
      <formula>$A$32</formula>
    </cfRule>
  </conditionalFormatting>
  <conditionalFormatting sqref="AU19">
    <cfRule type="cellIs" dxfId="314" priority="1308" stopIfTrue="1" operator="equal">
      <formula>$A$33</formula>
    </cfRule>
  </conditionalFormatting>
  <conditionalFormatting sqref="AU19">
    <cfRule type="cellIs" dxfId="313" priority="1307" stopIfTrue="1" operator="equal">
      <formula>$A$32</formula>
    </cfRule>
  </conditionalFormatting>
  <conditionalFormatting sqref="AU19">
    <cfRule type="cellIs" dxfId="312" priority="1306" stopIfTrue="1" operator="equal">
      <formula>$A$33</formula>
    </cfRule>
  </conditionalFormatting>
  <conditionalFormatting sqref="AU19">
    <cfRule type="cellIs" dxfId="311" priority="1305" stopIfTrue="1" operator="equal">
      <formula>$A$32</formula>
    </cfRule>
  </conditionalFormatting>
  <conditionalFormatting sqref="AU19">
    <cfRule type="cellIs" dxfId="310" priority="1304" stopIfTrue="1" operator="equal">
      <formula>$A$33</formula>
    </cfRule>
  </conditionalFormatting>
  <conditionalFormatting sqref="AU19">
    <cfRule type="cellIs" dxfId="309" priority="1303" stopIfTrue="1" operator="equal">
      <formula>$A$32</formula>
    </cfRule>
  </conditionalFormatting>
  <conditionalFormatting sqref="AU19">
    <cfRule type="cellIs" dxfId="308" priority="1302" stopIfTrue="1" operator="equal">
      <formula>$A$33</formula>
    </cfRule>
  </conditionalFormatting>
  <conditionalFormatting sqref="AU19">
    <cfRule type="cellIs" dxfId="307" priority="1301" stopIfTrue="1" operator="equal">
      <formula>$A$32</formula>
    </cfRule>
  </conditionalFormatting>
  <conditionalFormatting sqref="AU19">
    <cfRule type="cellIs" dxfId="306" priority="1300" stopIfTrue="1" operator="equal">
      <formula>$A$33</formula>
    </cfRule>
  </conditionalFormatting>
  <conditionalFormatting sqref="AU19">
    <cfRule type="cellIs" dxfId="305" priority="1299" stopIfTrue="1" operator="equal">
      <formula>$A$32</formula>
    </cfRule>
  </conditionalFormatting>
  <conditionalFormatting sqref="AU19">
    <cfRule type="cellIs" dxfId="304" priority="1298" stopIfTrue="1" operator="equal">
      <formula>$A$33</formula>
    </cfRule>
  </conditionalFormatting>
  <conditionalFormatting sqref="AU19">
    <cfRule type="cellIs" dxfId="303" priority="1297" stopIfTrue="1" operator="equal">
      <formula>$A$32</formula>
    </cfRule>
  </conditionalFormatting>
  <conditionalFormatting sqref="AU19">
    <cfRule type="cellIs" dxfId="302" priority="1296" stopIfTrue="1" operator="equal">
      <formula>$A$33</formula>
    </cfRule>
  </conditionalFormatting>
  <conditionalFormatting sqref="AU19">
    <cfRule type="cellIs" dxfId="301" priority="1295" stopIfTrue="1" operator="equal">
      <formula>$A$32</formula>
    </cfRule>
  </conditionalFormatting>
  <conditionalFormatting sqref="AW19">
    <cfRule type="cellIs" dxfId="300" priority="1294" stopIfTrue="1" operator="equal">
      <formula>$A$32</formula>
    </cfRule>
  </conditionalFormatting>
  <conditionalFormatting sqref="AW19">
    <cfRule type="cellIs" dxfId="299" priority="1293" stopIfTrue="1" operator="equal">
      <formula>$A$33</formula>
    </cfRule>
  </conditionalFormatting>
  <conditionalFormatting sqref="AW19">
    <cfRule type="cellIs" dxfId="298" priority="1292" stopIfTrue="1" operator="equal">
      <formula>$A$32</formula>
    </cfRule>
  </conditionalFormatting>
  <conditionalFormatting sqref="AW19">
    <cfRule type="cellIs" dxfId="297" priority="1291" stopIfTrue="1" operator="equal">
      <formula>$A$33</formula>
    </cfRule>
  </conditionalFormatting>
  <conditionalFormatting sqref="AW19">
    <cfRule type="cellIs" dxfId="296" priority="1290" stopIfTrue="1" operator="equal">
      <formula>$A$32</formula>
    </cfRule>
  </conditionalFormatting>
  <conditionalFormatting sqref="AW19">
    <cfRule type="cellIs" dxfId="295" priority="1289" stopIfTrue="1" operator="equal">
      <formula>$A$33</formula>
    </cfRule>
  </conditionalFormatting>
  <conditionalFormatting sqref="AW19">
    <cfRule type="cellIs" dxfId="294" priority="1288" stopIfTrue="1" operator="equal">
      <formula>$A$32</formula>
    </cfRule>
  </conditionalFormatting>
  <conditionalFormatting sqref="AW19">
    <cfRule type="cellIs" dxfId="293" priority="1287" stopIfTrue="1" operator="equal">
      <formula>$A$33</formula>
    </cfRule>
  </conditionalFormatting>
  <conditionalFormatting sqref="AW19">
    <cfRule type="cellIs" dxfId="292" priority="1286" stopIfTrue="1" operator="equal">
      <formula>$A$32</formula>
    </cfRule>
  </conditionalFormatting>
  <conditionalFormatting sqref="AW19">
    <cfRule type="cellIs" dxfId="291" priority="1285" stopIfTrue="1" operator="equal">
      <formula>$A$33</formula>
    </cfRule>
  </conditionalFormatting>
  <conditionalFormatting sqref="AW19">
    <cfRule type="cellIs" dxfId="290" priority="1284" stopIfTrue="1" operator="equal">
      <formula>$A$32</formula>
    </cfRule>
  </conditionalFormatting>
  <conditionalFormatting sqref="AW19">
    <cfRule type="cellIs" dxfId="289" priority="1283" stopIfTrue="1" operator="equal">
      <formula>$A$33</formula>
    </cfRule>
  </conditionalFormatting>
  <conditionalFormatting sqref="AW19">
    <cfRule type="cellIs" dxfId="288" priority="1282" stopIfTrue="1" operator="equal">
      <formula>$A$32</formula>
    </cfRule>
  </conditionalFormatting>
  <conditionalFormatting sqref="AW19">
    <cfRule type="cellIs" dxfId="287" priority="1281" stopIfTrue="1" operator="equal">
      <formula>$A$33</formula>
    </cfRule>
  </conditionalFormatting>
  <conditionalFormatting sqref="AW19">
    <cfRule type="cellIs" dxfId="286" priority="1280" stopIfTrue="1" operator="equal">
      <formula>$A$32</formula>
    </cfRule>
  </conditionalFormatting>
  <conditionalFormatting sqref="AW19">
    <cfRule type="cellIs" dxfId="285" priority="1279" stopIfTrue="1" operator="equal">
      <formula>$A$33</formula>
    </cfRule>
  </conditionalFormatting>
  <conditionalFormatting sqref="AW19">
    <cfRule type="cellIs" dxfId="284" priority="1278" stopIfTrue="1" operator="equal">
      <formula>$A$32</formula>
    </cfRule>
  </conditionalFormatting>
  <conditionalFormatting sqref="AW19">
    <cfRule type="cellIs" dxfId="283" priority="1277" stopIfTrue="1" operator="equal">
      <formula>$A$33</formula>
    </cfRule>
  </conditionalFormatting>
  <conditionalFormatting sqref="AW19">
    <cfRule type="cellIs" dxfId="282" priority="1276" stopIfTrue="1" operator="equal">
      <formula>$A$32</formula>
    </cfRule>
  </conditionalFormatting>
  <conditionalFormatting sqref="AW19">
    <cfRule type="cellIs" dxfId="281" priority="1275" stopIfTrue="1" operator="equal">
      <formula>$A$33</formula>
    </cfRule>
  </conditionalFormatting>
  <conditionalFormatting sqref="AW19">
    <cfRule type="cellIs" dxfId="280" priority="1274" stopIfTrue="1" operator="equal">
      <formula>$A$32</formula>
    </cfRule>
  </conditionalFormatting>
  <conditionalFormatting sqref="AW19">
    <cfRule type="cellIs" dxfId="279" priority="1273" stopIfTrue="1" operator="equal">
      <formula>$A$33</formula>
    </cfRule>
  </conditionalFormatting>
  <conditionalFormatting sqref="AW19">
    <cfRule type="cellIs" dxfId="278" priority="1272" stopIfTrue="1" operator="equal">
      <formula>$A$32</formula>
    </cfRule>
  </conditionalFormatting>
  <conditionalFormatting sqref="AW19">
    <cfRule type="cellIs" dxfId="277" priority="1271" stopIfTrue="1" operator="equal">
      <formula>$A$33</formula>
    </cfRule>
  </conditionalFormatting>
  <conditionalFormatting sqref="AW19">
    <cfRule type="cellIs" dxfId="276" priority="1270" stopIfTrue="1" operator="equal">
      <formula>$A$32</formula>
    </cfRule>
  </conditionalFormatting>
  <conditionalFormatting sqref="AW19">
    <cfRule type="cellIs" dxfId="275" priority="1269" stopIfTrue="1" operator="equal">
      <formula>$A$33</formula>
    </cfRule>
  </conditionalFormatting>
  <conditionalFormatting sqref="AW19">
    <cfRule type="cellIs" dxfId="274" priority="1268" stopIfTrue="1" operator="equal">
      <formula>$A$32</formula>
    </cfRule>
  </conditionalFormatting>
  <conditionalFormatting sqref="AW19">
    <cfRule type="cellIs" dxfId="273" priority="1267" stopIfTrue="1" operator="equal">
      <formula>$A$33</formula>
    </cfRule>
  </conditionalFormatting>
  <conditionalFormatting sqref="AW19">
    <cfRule type="cellIs" dxfId="272" priority="1266" stopIfTrue="1" operator="equal">
      <formula>$A$32</formula>
    </cfRule>
  </conditionalFormatting>
  <conditionalFormatting sqref="DG17">
    <cfRule type="cellIs" dxfId="271" priority="652" stopIfTrue="1" operator="equal">
      <formula>$A$32</formula>
    </cfRule>
  </conditionalFormatting>
  <conditionalFormatting sqref="DG8">
    <cfRule type="cellIs" dxfId="270" priority="649" stopIfTrue="1" operator="equal">
      <formula>$A$33</formula>
    </cfRule>
  </conditionalFormatting>
  <conditionalFormatting sqref="P16:R17">
    <cfRule type="cellIs" dxfId="269" priority="648" stopIfTrue="1" operator="equal">
      <formula>$A$32</formula>
    </cfRule>
  </conditionalFormatting>
  <conditionalFormatting sqref="DH8">
    <cfRule type="cellIs" dxfId="268" priority="647" stopIfTrue="1" operator="equal">
      <formula>$A$33</formula>
    </cfRule>
  </conditionalFormatting>
  <conditionalFormatting sqref="DI8">
    <cfRule type="cellIs" dxfId="267" priority="646" stopIfTrue="1" operator="equal">
      <formula>$A$33</formula>
    </cfRule>
  </conditionalFormatting>
  <conditionalFormatting sqref="DK8">
    <cfRule type="cellIs" dxfId="266" priority="641" stopIfTrue="1" operator="equal">
      <formula>$A$33</formula>
    </cfRule>
  </conditionalFormatting>
  <conditionalFormatting sqref="DL8">
    <cfRule type="cellIs" dxfId="265" priority="637" stopIfTrue="1" operator="equal">
      <formula>$A$33</formula>
    </cfRule>
  </conditionalFormatting>
  <conditionalFormatting sqref="BY12:BZ13">
    <cfRule type="cellIs" dxfId="264" priority="580" stopIfTrue="1" operator="equal">
      <formula>$A$33</formula>
    </cfRule>
  </conditionalFormatting>
  <conditionalFormatting sqref="BY11:BZ11">
    <cfRule type="cellIs" dxfId="263" priority="581" stopIfTrue="1" operator="equal">
      <formula>$A$32</formula>
    </cfRule>
  </conditionalFormatting>
  <conditionalFormatting sqref="BY18:BZ18">
    <cfRule type="cellIs" dxfId="262" priority="578" stopIfTrue="1" operator="equal">
      <formula>$A$33</formula>
    </cfRule>
  </conditionalFormatting>
  <conditionalFormatting sqref="BY17:BZ17">
    <cfRule type="cellIs" dxfId="261" priority="579" stopIfTrue="1" operator="equal">
      <formula>$A$32</formula>
    </cfRule>
  </conditionalFormatting>
  <conditionalFormatting sqref="DM1:DU1">
    <cfRule type="cellIs" dxfId="260" priority="573" stopIfTrue="1" operator="equal">
      <formula>$A$33</formula>
    </cfRule>
  </conditionalFormatting>
  <conditionalFormatting sqref="DM1:DU1">
    <cfRule type="cellIs" dxfId="259" priority="572" stopIfTrue="1" operator="equal">
      <formula>$A$33</formula>
    </cfRule>
  </conditionalFormatting>
  <conditionalFormatting sqref="DM1:DU1">
    <cfRule type="cellIs" dxfId="258" priority="571" stopIfTrue="1" operator="equal">
      <formula>$A$33</formula>
    </cfRule>
  </conditionalFormatting>
  <conditionalFormatting sqref="DM8:DU8">
    <cfRule type="cellIs" dxfId="257" priority="570" stopIfTrue="1" operator="equal">
      <formula>$A$33</formula>
    </cfRule>
  </conditionalFormatting>
  <conditionalFormatting sqref="DV8:DX8">
    <cfRule type="cellIs" dxfId="256" priority="557" stopIfTrue="1" operator="equal">
      <formula>$A$33</formula>
    </cfRule>
  </conditionalFormatting>
  <conditionalFormatting sqref="DV1">
    <cfRule type="cellIs" dxfId="255" priority="556" stopIfTrue="1" operator="equal">
      <formula>$A$33</formula>
    </cfRule>
  </conditionalFormatting>
  <conditionalFormatting sqref="DV1">
    <cfRule type="cellIs" dxfId="254" priority="555" stopIfTrue="1" operator="equal">
      <formula>$A$33</formula>
    </cfRule>
  </conditionalFormatting>
  <conditionalFormatting sqref="DV1">
    <cfRule type="cellIs" dxfId="253" priority="554" stopIfTrue="1" operator="equal">
      <formula>$A$33</formula>
    </cfRule>
  </conditionalFormatting>
  <conditionalFormatting sqref="DW1">
    <cfRule type="cellIs" dxfId="252" priority="550" stopIfTrue="1" operator="equal">
      <formula>$A$33</formula>
    </cfRule>
  </conditionalFormatting>
  <conditionalFormatting sqref="DW1">
    <cfRule type="cellIs" dxfId="251" priority="549" stopIfTrue="1" operator="equal">
      <formula>$A$33</formula>
    </cfRule>
  </conditionalFormatting>
  <conditionalFormatting sqref="DW1">
    <cfRule type="cellIs" dxfId="250" priority="548" stopIfTrue="1" operator="equal">
      <formula>$A$33</formula>
    </cfRule>
  </conditionalFormatting>
  <conditionalFormatting sqref="DX1">
    <cfRule type="cellIs" dxfId="249" priority="544" stopIfTrue="1" operator="equal">
      <formula>$A$33</formula>
    </cfRule>
  </conditionalFormatting>
  <conditionalFormatting sqref="DX1">
    <cfRule type="cellIs" dxfId="248" priority="543" stopIfTrue="1" operator="equal">
      <formula>$A$33</formula>
    </cfRule>
  </conditionalFormatting>
  <conditionalFormatting sqref="DX1">
    <cfRule type="cellIs" dxfId="247" priority="542" stopIfTrue="1" operator="equal">
      <formula>$A$33</formula>
    </cfRule>
  </conditionalFormatting>
  <conditionalFormatting sqref="DY1">
    <cfRule type="cellIs" dxfId="246" priority="538" stopIfTrue="1" operator="equal">
      <formula>$A$33</formula>
    </cfRule>
  </conditionalFormatting>
  <conditionalFormatting sqref="DY1">
    <cfRule type="cellIs" dxfId="245" priority="537" stopIfTrue="1" operator="equal">
      <formula>$A$33</formula>
    </cfRule>
  </conditionalFormatting>
  <conditionalFormatting sqref="DY1">
    <cfRule type="cellIs" dxfId="244" priority="536" stopIfTrue="1" operator="equal">
      <formula>$A$33</formula>
    </cfRule>
  </conditionalFormatting>
  <conditionalFormatting sqref="DY8">
    <cfRule type="cellIs" dxfId="243" priority="535" stopIfTrue="1" operator="equal">
      <formula>$A$33</formula>
    </cfRule>
  </conditionalFormatting>
  <conditionalFormatting sqref="DZ8:EA8">
    <cfRule type="cellIs" dxfId="242" priority="531" stopIfTrue="1" operator="equal">
      <formula>$A$33</formula>
    </cfRule>
  </conditionalFormatting>
  <conditionalFormatting sqref="DZ1">
    <cfRule type="cellIs" dxfId="241" priority="530" stopIfTrue="1" operator="equal">
      <formula>$A$33</formula>
    </cfRule>
  </conditionalFormatting>
  <conditionalFormatting sqref="DZ1">
    <cfRule type="cellIs" dxfId="240" priority="529" stopIfTrue="1" operator="equal">
      <formula>$A$33</formula>
    </cfRule>
  </conditionalFormatting>
  <conditionalFormatting sqref="DZ1">
    <cfRule type="cellIs" dxfId="239" priority="528" stopIfTrue="1" operator="equal">
      <formula>$A$33</formula>
    </cfRule>
  </conditionalFormatting>
  <conditionalFormatting sqref="EA1">
    <cfRule type="cellIs" dxfId="238" priority="524" stopIfTrue="1" operator="equal">
      <formula>$A$33</formula>
    </cfRule>
  </conditionalFormatting>
  <conditionalFormatting sqref="EA1">
    <cfRule type="cellIs" dxfId="237" priority="523" stopIfTrue="1" operator="equal">
      <formula>$A$33</formula>
    </cfRule>
  </conditionalFormatting>
  <conditionalFormatting sqref="EA1">
    <cfRule type="cellIs" dxfId="236" priority="522" stopIfTrue="1" operator="equal">
      <formula>$A$33</formula>
    </cfRule>
  </conditionalFormatting>
  <conditionalFormatting sqref="DM21:EJ21">
    <cfRule type="cellIs" dxfId="235" priority="518" stopIfTrue="1" operator="equal">
      <formula>$A$33</formula>
    </cfRule>
  </conditionalFormatting>
  <conditionalFormatting sqref="DM16:EA19">
    <cfRule type="cellIs" dxfId="234" priority="517" stopIfTrue="1" operator="equal">
      <formula>$A$33</formula>
    </cfRule>
  </conditionalFormatting>
  <conditionalFormatting sqref="DM14:EA15">
    <cfRule type="cellIs" dxfId="233" priority="513" stopIfTrue="1" operator="equal">
      <formula>$A$33</formula>
    </cfRule>
  </conditionalFormatting>
  <conditionalFormatting sqref="EB8:EJ8">
    <cfRule type="cellIs" dxfId="232" priority="507" stopIfTrue="1" operator="equal">
      <formula>$A$33</formula>
    </cfRule>
  </conditionalFormatting>
  <conditionalFormatting sqref="EB14:EG15">
    <cfRule type="cellIs" dxfId="231" priority="506" stopIfTrue="1" operator="equal">
      <formula>$A$33</formula>
    </cfRule>
  </conditionalFormatting>
  <conditionalFormatting sqref="EB9:EG9">
    <cfRule type="cellIs" dxfId="230" priority="503" stopIfTrue="1" operator="equal">
      <formula>$A$33</formula>
    </cfRule>
  </conditionalFormatting>
  <conditionalFormatting sqref="EH14:EJ15">
    <cfRule type="cellIs" dxfId="229" priority="493" stopIfTrue="1" operator="equal">
      <formula>$A$33</formula>
    </cfRule>
  </conditionalFormatting>
  <conditionalFormatting sqref="EH9:EJ9">
    <cfRule type="cellIs" dxfId="228" priority="490" stopIfTrue="1" operator="equal">
      <formula>$A$33</formula>
    </cfRule>
  </conditionalFormatting>
  <conditionalFormatting sqref="EK20:EN20">
    <cfRule type="cellIs" dxfId="227" priority="480" stopIfTrue="1" operator="equal">
      <formula>$A$33</formula>
    </cfRule>
  </conditionalFormatting>
  <conditionalFormatting sqref="EK21:EN21">
    <cfRule type="cellIs" dxfId="226" priority="479" stopIfTrue="1" operator="equal">
      <formula>$A$33</formula>
    </cfRule>
  </conditionalFormatting>
  <conditionalFormatting sqref="EK8">
    <cfRule type="cellIs" dxfId="225" priority="478" stopIfTrue="1" operator="equal">
      <formula>$A$33</formula>
    </cfRule>
  </conditionalFormatting>
  <conditionalFormatting sqref="EK14:EK15">
    <cfRule type="cellIs" dxfId="224" priority="477" stopIfTrue="1" operator="equal">
      <formula>$A$33</formula>
    </cfRule>
  </conditionalFormatting>
  <conditionalFormatting sqref="EK9">
    <cfRule type="cellIs" dxfId="223" priority="474" stopIfTrue="1" operator="equal">
      <formula>$A$33</formula>
    </cfRule>
  </conditionalFormatting>
  <conditionalFormatting sqref="EL17:EL19">
    <cfRule type="cellIs" dxfId="222" priority="458" stopIfTrue="1" operator="equal">
      <formula>$A$33</formula>
    </cfRule>
  </conditionalFormatting>
  <conditionalFormatting sqref="EL8">
    <cfRule type="cellIs" dxfId="221" priority="457" stopIfTrue="1" operator="equal">
      <formula>$A$33</formula>
    </cfRule>
  </conditionalFormatting>
  <conditionalFormatting sqref="EL14:EL15">
    <cfRule type="cellIs" dxfId="220" priority="456" stopIfTrue="1" operator="equal">
      <formula>$A$33</formula>
    </cfRule>
  </conditionalFormatting>
  <conditionalFormatting sqref="EL9">
    <cfRule type="cellIs" dxfId="219" priority="453" stopIfTrue="1" operator="equal">
      <formula>$A$33</formula>
    </cfRule>
  </conditionalFormatting>
  <conditionalFormatting sqref="EL16">
    <cfRule type="cellIs" dxfId="218" priority="443" stopIfTrue="1" operator="equal">
      <formula>$A$33</formula>
    </cfRule>
  </conditionalFormatting>
  <conditionalFormatting sqref="EM17:EM19">
    <cfRule type="cellIs" dxfId="217" priority="440" stopIfTrue="1" operator="equal">
      <formula>$A$33</formula>
    </cfRule>
  </conditionalFormatting>
  <conditionalFormatting sqref="EM8">
    <cfRule type="cellIs" dxfId="216" priority="439" stopIfTrue="1" operator="equal">
      <formula>$A$33</formula>
    </cfRule>
  </conditionalFormatting>
  <conditionalFormatting sqref="EM15">
    <cfRule type="cellIs" dxfId="215" priority="438" stopIfTrue="1" operator="equal">
      <formula>$A$33</formula>
    </cfRule>
  </conditionalFormatting>
  <conditionalFormatting sqref="EM9">
    <cfRule type="cellIs" dxfId="214" priority="435" stopIfTrue="1" operator="equal">
      <formula>$A$33</formula>
    </cfRule>
  </conditionalFormatting>
  <conditionalFormatting sqref="EM16">
    <cfRule type="cellIs" dxfId="213" priority="425" stopIfTrue="1" operator="equal">
      <formula>$A$33</formula>
    </cfRule>
  </conditionalFormatting>
  <conditionalFormatting sqref="EN17:EN19">
    <cfRule type="cellIs" dxfId="212" priority="422" stopIfTrue="1" operator="equal">
      <formula>$A$33</formula>
    </cfRule>
  </conditionalFormatting>
  <conditionalFormatting sqref="EN8">
    <cfRule type="cellIs" dxfId="211" priority="421" stopIfTrue="1" operator="equal">
      <formula>$A$33</formula>
    </cfRule>
  </conditionalFormatting>
  <conditionalFormatting sqref="EN15">
    <cfRule type="cellIs" dxfId="210" priority="420" stopIfTrue="1" operator="equal">
      <formula>$A$33</formula>
    </cfRule>
  </conditionalFormatting>
  <conditionalFormatting sqref="EN9">
    <cfRule type="cellIs" dxfId="209" priority="417" stopIfTrue="1" operator="equal">
      <formula>$A$33</formula>
    </cfRule>
  </conditionalFormatting>
  <conditionalFormatting sqref="EN16">
    <cfRule type="cellIs" dxfId="208" priority="407" stopIfTrue="1" operator="equal">
      <formula>$A$33</formula>
    </cfRule>
  </conditionalFormatting>
  <conditionalFormatting sqref="EO13">
    <cfRule type="cellIs" dxfId="207" priority="341" stopIfTrue="1" operator="equal">
      <formula>$A$33</formula>
    </cfRule>
  </conditionalFormatting>
  <conditionalFormatting sqref="EO13">
    <cfRule type="cellIs" dxfId="206" priority="340" stopIfTrue="1" operator="equal">
      <formula>$A$33</formula>
    </cfRule>
  </conditionalFormatting>
  <conditionalFormatting sqref="EO13">
    <cfRule type="cellIs" dxfId="205" priority="339" stopIfTrue="1" operator="equal">
      <formula>$A$33</formula>
    </cfRule>
  </conditionalFormatting>
  <conditionalFormatting sqref="EO13">
    <cfRule type="cellIs" dxfId="204" priority="338" stopIfTrue="1" operator="equal">
      <formula>$A$33</formula>
    </cfRule>
  </conditionalFormatting>
  <conditionalFormatting sqref="EO13">
    <cfRule type="cellIs" dxfId="203" priority="337" stopIfTrue="1" operator="equal">
      <formula>$A$33</formula>
    </cfRule>
  </conditionalFormatting>
  <conditionalFormatting sqref="EO13">
    <cfRule type="cellIs" dxfId="202" priority="336" stopIfTrue="1" operator="equal">
      <formula>$A$33</formula>
    </cfRule>
  </conditionalFormatting>
  <conditionalFormatting sqref="EO17">
    <cfRule type="cellIs" dxfId="201" priority="335" stopIfTrue="1" operator="equal">
      <formula>$A$32</formula>
    </cfRule>
  </conditionalFormatting>
  <conditionalFormatting sqref="EO16">
    <cfRule type="cellIs" dxfId="200" priority="334" stopIfTrue="1" operator="equal">
      <formula>$A$32</formula>
    </cfRule>
  </conditionalFormatting>
  <conditionalFormatting sqref="EO21">
    <cfRule type="cellIs" dxfId="199" priority="299" stopIfTrue="1" operator="equal">
      <formula>$A$33</formula>
    </cfRule>
  </conditionalFormatting>
  <conditionalFormatting sqref="EO14">
    <cfRule type="cellIs" dxfId="198" priority="298" stopIfTrue="1" operator="equal">
      <formula>$A$33</formula>
    </cfRule>
  </conditionalFormatting>
  <conditionalFormatting sqref="EO20">
    <cfRule type="cellIs" dxfId="197" priority="297" stopIfTrue="1" operator="equal">
      <formula>$A$33</formula>
    </cfRule>
  </conditionalFormatting>
  <conditionalFormatting sqref="EP13">
    <cfRule type="cellIs" dxfId="196" priority="292" stopIfTrue="1" operator="equal">
      <formula>$A$33</formula>
    </cfRule>
  </conditionalFormatting>
  <conditionalFormatting sqref="EP13">
    <cfRule type="cellIs" dxfId="195" priority="291" stopIfTrue="1" operator="equal">
      <formula>$A$33</formula>
    </cfRule>
  </conditionalFormatting>
  <conditionalFormatting sqref="EP13">
    <cfRule type="cellIs" dxfId="194" priority="290" stopIfTrue="1" operator="equal">
      <formula>$A$33</formula>
    </cfRule>
  </conditionalFormatting>
  <conditionalFormatting sqref="EP13">
    <cfRule type="cellIs" dxfId="193" priority="289" stopIfTrue="1" operator="equal">
      <formula>$A$33</formula>
    </cfRule>
  </conditionalFormatting>
  <conditionalFormatting sqref="EP13">
    <cfRule type="cellIs" dxfId="192" priority="288" stopIfTrue="1" operator="equal">
      <formula>$A$33</formula>
    </cfRule>
  </conditionalFormatting>
  <conditionalFormatting sqref="EP13">
    <cfRule type="cellIs" dxfId="191" priority="287" stopIfTrue="1" operator="equal">
      <formula>$A$33</formula>
    </cfRule>
  </conditionalFormatting>
  <conditionalFormatting sqref="EP17">
    <cfRule type="cellIs" dxfId="190" priority="286" stopIfTrue="1" operator="equal">
      <formula>$A$32</formula>
    </cfRule>
  </conditionalFormatting>
  <conditionalFormatting sqref="EP16">
    <cfRule type="cellIs" dxfId="189" priority="285" stopIfTrue="1" operator="equal">
      <formula>$A$32</formula>
    </cfRule>
  </conditionalFormatting>
  <conditionalFormatting sqref="EP21">
    <cfRule type="cellIs" dxfId="188" priority="250" stopIfTrue="1" operator="equal">
      <formula>$A$33</formula>
    </cfRule>
  </conditionalFormatting>
  <conditionalFormatting sqref="EP14">
    <cfRule type="cellIs" dxfId="187" priority="249" stopIfTrue="1" operator="equal">
      <formula>$A$33</formula>
    </cfRule>
  </conditionalFormatting>
  <conditionalFormatting sqref="EP20">
    <cfRule type="cellIs" dxfId="186" priority="248" stopIfTrue="1" operator="equal">
      <formula>$A$33</formula>
    </cfRule>
  </conditionalFormatting>
  <conditionalFormatting sqref="EQ13">
    <cfRule type="cellIs" dxfId="185" priority="243" stopIfTrue="1" operator="equal">
      <formula>$A$33</formula>
    </cfRule>
  </conditionalFormatting>
  <conditionalFormatting sqref="EQ13">
    <cfRule type="cellIs" dxfId="184" priority="242" stopIfTrue="1" operator="equal">
      <formula>$A$33</formula>
    </cfRule>
  </conditionalFormatting>
  <conditionalFormatting sqref="EQ13">
    <cfRule type="cellIs" dxfId="183" priority="241" stopIfTrue="1" operator="equal">
      <formula>$A$33</formula>
    </cfRule>
  </conditionalFormatting>
  <conditionalFormatting sqref="EQ13">
    <cfRule type="cellIs" dxfId="182" priority="240" stopIfTrue="1" operator="equal">
      <formula>$A$33</formula>
    </cfRule>
  </conditionalFormatting>
  <conditionalFormatting sqref="EQ13">
    <cfRule type="cellIs" dxfId="181" priority="239" stopIfTrue="1" operator="equal">
      <formula>$A$33</formula>
    </cfRule>
  </conditionalFormatting>
  <conditionalFormatting sqref="EQ13">
    <cfRule type="cellIs" dxfId="180" priority="238" stopIfTrue="1" operator="equal">
      <formula>$A$33</formula>
    </cfRule>
  </conditionalFormatting>
  <conditionalFormatting sqref="EQ17">
    <cfRule type="cellIs" dxfId="179" priority="237" stopIfTrue="1" operator="equal">
      <formula>$A$32</formula>
    </cfRule>
  </conditionalFormatting>
  <conditionalFormatting sqref="EQ16">
    <cfRule type="cellIs" dxfId="178" priority="236" stopIfTrue="1" operator="equal">
      <formula>$A$32</formula>
    </cfRule>
  </conditionalFormatting>
  <conditionalFormatting sqref="EQ21">
    <cfRule type="cellIs" dxfId="177" priority="201" stopIfTrue="1" operator="equal">
      <formula>$A$33</formula>
    </cfRule>
  </conditionalFormatting>
  <conditionalFormatting sqref="EQ14">
    <cfRule type="cellIs" dxfId="176" priority="200" stopIfTrue="1" operator="equal">
      <formula>$A$33</formula>
    </cfRule>
  </conditionalFormatting>
  <conditionalFormatting sqref="EQ20">
    <cfRule type="cellIs" dxfId="175" priority="199" stopIfTrue="1" operator="equal">
      <formula>$A$33</formula>
    </cfRule>
  </conditionalFormatting>
  <conditionalFormatting sqref="ER13">
    <cfRule type="cellIs" dxfId="174" priority="194" stopIfTrue="1" operator="equal">
      <formula>$A$33</formula>
    </cfRule>
  </conditionalFormatting>
  <conditionalFormatting sqref="ER13">
    <cfRule type="cellIs" dxfId="173" priority="193" stopIfTrue="1" operator="equal">
      <formula>$A$33</formula>
    </cfRule>
  </conditionalFormatting>
  <conditionalFormatting sqref="ER13">
    <cfRule type="cellIs" dxfId="172" priority="192" stopIfTrue="1" operator="equal">
      <formula>$A$33</formula>
    </cfRule>
  </conditionalFormatting>
  <conditionalFormatting sqref="ER13">
    <cfRule type="cellIs" dxfId="171" priority="191" stopIfTrue="1" operator="equal">
      <formula>$A$33</formula>
    </cfRule>
  </conditionalFormatting>
  <conditionalFormatting sqref="ER13">
    <cfRule type="cellIs" dxfId="170" priority="190" stopIfTrue="1" operator="equal">
      <formula>$A$33</formula>
    </cfRule>
  </conditionalFormatting>
  <conditionalFormatting sqref="ER13">
    <cfRule type="cellIs" dxfId="169" priority="189" stopIfTrue="1" operator="equal">
      <formula>$A$33</formula>
    </cfRule>
  </conditionalFormatting>
  <conditionalFormatting sqref="ER17">
    <cfRule type="cellIs" dxfId="168" priority="188" stopIfTrue="1" operator="equal">
      <formula>$A$32</formula>
    </cfRule>
  </conditionalFormatting>
  <conditionalFormatting sqref="ER16">
    <cfRule type="cellIs" dxfId="167" priority="187" stopIfTrue="1" operator="equal">
      <formula>$A$32</formula>
    </cfRule>
  </conditionalFormatting>
  <conditionalFormatting sqref="ER21">
    <cfRule type="cellIs" dxfId="166" priority="152" stopIfTrue="1" operator="equal">
      <formula>$A$33</formula>
    </cfRule>
  </conditionalFormatting>
  <conditionalFormatting sqref="ER14">
    <cfRule type="cellIs" dxfId="165" priority="151" stopIfTrue="1" operator="equal">
      <formula>$A$33</formula>
    </cfRule>
  </conditionalFormatting>
  <conditionalFormatting sqref="ER20">
    <cfRule type="cellIs" dxfId="164" priority="150" stopIfTrue="1" operator="equal">
      <formula>$A$33</formula>
    </cfRule>
  </conditionalFormatting>
  <conditionalFormatting sqref="ES8">
    <cfRule type="cellIs" dxfId="163" priority="149" stopIfTrue="1" operator="equal">
      <formula>$A$33</formula>
    </cfRule>
  </conditionalFormatting>
  <conditionalFormatting sqref="ES15">
    <cfRule type="cellIs" dxfId="162" priority="148" stopIfTrue="1" operator="equal">
      <formula>$A$33</formula>
    </cfRule>
  </conditionalFormatting>
  <conditionalFormatting sqref="ES11">
    <cfRule type="cellIs" dxfId="161" priority="143" stopIfTrue="1" operator="equal">
      <formula>$A$32</formula>
    </cfRule>
  </conditionalFormatting>
  <conditionalFormatting sqref="ES13">
    <cfRule type="cellIs" dxfId="160" priority="141" stopIfTrue="1" operator="equal">
      <formula>$A$33</formula>
    </cfRule>
  </conditionalFormatting>
  <conditionalFormatting sqref="ES13">
    <cfRule type="cellIs" dxfId="159" priority="140" stopIfTrue="1" operator="equal">
      <formula>$A$33</formula>
    </cfRule>
  </conditionalFormatting>
  <conditionalFormatting sqref="ES13">
    <cfRule type="cellIs" dxfId="158" priority="139" stopIfTrue="1" operator="equal">
      <formula>$A$33</formula>
    </cfRule>
  </conditionalFormatting>
  <conditionalFormatting sqref="ES13">
    <cfRule type="cellIs" dxfId="157" priority="138" stopIfTrue="1" operator="equal">
      <formula>$A$33</formula>
    </cfRule>
  </conditionalFormatting>
  <conditionalFormatting sqref="ES13">
    <cfRule type="cellIs" dxfId="156" priority="137" stopIfTrue="1" operator="equal">
      <formula>$A$33</formula>
    </cfRule>
  </conditionalFormatting>
  <conditionalFormatting sqref="ES13">
    <cfRule type="cellIs" dxfId="155" priority="136" stopIfTrue="1" operator="equal">
      <formula>$A$33</formula>
    </cfRule>
  </conditionalFormatting>
  <conditionalFormatting sqref="ES16:ES19">
    <cfRule type="cellIs" dxfId="154" priority="134" stopIfTrue="1" operator="equal">
      <formula>$A$33</formula>
    </cfRule>
  </conditionalFormatting>
  <conditionalFormatting sqref="ES17">
    <cfRule type="cellIs" dxfId="153" priority="135" stopIfTrue="1" operator="equal">
      <formula>$A$32</formula>
    </cfRule>
  </conditionalFormatting>
  <conditionalFormatting sqref="ES17">
    <cfRule type="cellIs" dxfId="152" priority="133" stopIfTrue="1" operator="equal">
      <formula>$A$32</formula>
    </cfRule>
  </conditionalFormatting>
  <conditionalFormatting sqref="ES16">
    <cfRule type="cellIs" dxfId="151" priority="132" stopIfTrue="1" operator="equal">
      <formula>$A$32</formula>
    </cfRule>
  </conditionalFormatting>
  <conditionalFormatting sqref="ES14">
    <cfRule type="cellIs" dxfId="150" priority="89" stopIfTrue="1" operator="equal">
      <formula>$A$33</formula>
    </cfRule>
  </conditionalFormatting>
  <conditionalFormatting sqref="ES20">
    <cfRule type="cellIs" dxfId="149" priority="88" stopIfTrue="1" operator="equal">
      <formula>$A$33</formula>
    </cfRule>
  </conditionalFormatting>
  <conditionalFormatting sqref="ET8">
    <cfRule type="cellIs" dxfId="148" priority="87" stopIfTrue="1" operator="equal">
      <formula>$A$33</formula>
    </cfRule>
  </conditionalFormatting>
  <conditionalFormatting sqref="ET15">
    <cfRule type="cellIs" dxfId="147" priority="86" stopIfTrue="1" operator="equal">
      <formula>$A$33</formula>
    </cfRule>
  </conditionalFormatting>
  <conditionalFormatting sqref="ET14">
    <cfRule type="cellIs" dxfId="146" priority="81" stopIfTrue="1" operator="equal">
      <formula>$A$33</formula>
    </cfRule>
  </conditionalFormatting>
  <conditionalFormatting sqref="EU8">
    <cfRule type="cellIs" dxfId="145" priority="80" stopIfTrue="1" operator="equal">
      <formula>$A$33</formula>
    </cfRule>
  </conditionalFormatting>
  <conditionalFormatting sqref="EU15">
    <cfRule type="cellIs" dxfId="144" priority="79" stopIfTrue="1" operator="equal">
      <formula>$A$33</formula>
    </cfRule>
  </conditionalFormatting>
  <conditionalFormatting sqref="EU14">
    <cfRule type="cellIs" dxfId="143" priority="74" stopIfTrue="1" operator="equal">
      <formula>$A$33</formula>
    </cfRule>
  </conditionalFormatting>
  <conditionalFormatting sqref="EU20">
    <cfRule type="cellIs" dxfId="142" priority="73" stopIfTrue="1" operator="equal">
      <formula>$A$33</formula>
    </cfRule>
  </conditionalFormatting>
  <conditionalFormatting sqref="EV14">
    <cfRule type="cellIs" dxfId="141" priority="59" stopIfTrue="1" operator="equal">
      <formula>$A$33</formula>
    </cfRule>
  </conditionalFormatting>
  <conditionalFormatting sqref="EV11">
    <cfRule type="cellIs" dxfId="140" priority="57" stopIfTrue="1" operator="equal">
      <formula>$A$32</formula>
    </cfRule>
  </conditionalFormatting>
  <conditionalFormatting sqref="EV8">
    <cfRule type="cellIs" dxfId="139" priority="52" stopIfTrue="1" operator="equal">
      <formula>$A$33</formula>
    </cfRule>
  </conditionalFormatting>
  <conditionalFormatting sqref="EW14">
    <cfRule type="cellIs" dxfId="138" priority="51" stopIfTrue="1" operator="equal">
      <formula>$A$33</formula>
    </cfRule>
  </conditionalFormatting>
  <conditionalFormatting sqref="EW8">
    <cfRule type="cellIs" dxfId="137" priority="50" stopIfTrue="1" operator="equal">
      <formula>$A$33</formula>
    </cfRule>
  </conditionalFormatting>
  <conditionalFormatting sqref="EW11">
    <cfRule type="cellIs" dxfId="136" priority="49" stopIfTrue="1" operator="equal">
      <formula>$A$32</formula>
    </cfRule>
  </conditionalFormatting>
  <conditionalFormatting sqref="EX8">
    <cfRule type="cellIs" dxfId="135" priority="44" stopIfTrue="1" operator="equal">
      <formula>$A$33</formula>
    </cfRule>
  </conditionalFormatting>
  <conditionalFormatting sqref="EX14">
    <cfRule type="cellIs" dxfId="134" priority="43" stopIfTrue="1" operator="equal">
      <formula>$A$33</formula>
    </cfRule>
  </conditionalFormatting>
  <conditionalFormatting sqref="EX20">
    <cfRule type="cellIs" dxfId="133" priority="42" stopIfTrue="1" operator="equal">
      <formula>$A$33</formula>
    </cfRule>
  </conditionalFormatting>
  <conditionalFormatting sqref="EX17:EX19">
    <cfRule type="cellIs" dxfId="132" priority="40" stopIfTrue="1" operator="equal">
      <formula>$A$33</formula>
    </cfRule>
  </conditionalFormatting>
  <conditionalFormatting sqref="EX15">
    <cfRule type="cellIs" dxfId="131" priority="39" stopIfTrue="1" operator="equal">
      <formula>$A$33</formula>
    </cfRule>
  </conditionalFormatting>
  <conditionalFormatting sqref="EX9">
    <cfRule type="cellIs" dxfId="130" priority="36" stopIfTrue="1" operator="equal">
      <formula>$A$33</formula>
    </cfRule>
  </conditionalFormatting>
  <conditionalFormatting sqref="EX16">
    <cfRule type="cellIs" dxfId="129" priority="26" stopIfTrue="1" operator="equal">
      <formula>$A$33</formula>
    </cfRule>
  </conditionalFormatting>
  <conditionalFormatting sqref="EY8">
    <cfRule type="cellIs" dxfId="128" priority="22" stopIfTrue="1" operator="equal">
      <formula>$A$33</formula>
    </cfRule>
  </conditionalFormatting>
  <conditionalFormatting sqref="EY14">
    <cfRule type="cellIs" dxfId="127" priority="21" stopIfTrue="1" operator="equal">
      <formula>$A$33</formula>
    </cfRule>
  </conditionalFormatting>
  <conditionalFormatting sqref="EY20">
    <cfRule type="cellIs" dxfId="126" priority="20" stopIfTrue="1" operator="equal">
      <formula>$A$33</formula>
    </cfRule>
  </conditionalFormatting>
  <conditionalFormatting sqref="EY17:EY19">
    <cfRule type="cellIs" dxfId="125" priority="18" stopIfTrue="1" operator="equal">
      <formula>$A$33</formula>
    </cfRule>
  </conditionalFormatting>
  <conditionalFormatting sqref="EY15">
    <cfRule type="cellIs" dxfId="124" priority="17" stopIfTrue="1" operator="equal">
      <formula>$A$33</formula>
    </cfRule>
  </conditionalFormatting>
  <conditionalFormatting sqref="EY9">
    <cfRule type="cellIs" dxfId="123" priority="14" stopIfTrue="1" operator="equal">
      <formula>$A$33</formula>
    </cfRule>
  </conditionalFormatting>
  <conditionalFormatting sqref="EY16">
    <cfRule type="cellIs" dxfId="122" priority="4" stopIfTrue="1" operator="equal">
      <formula>$A$33</formula>
    </cfRule>
  </conditionalFormatting>
  <conditionalFormatting sqref="I10:R10">
    <cfRule type="cellIs" dxfId="121" priority="3537" stopIfTrue="1" operator="equal">
      <formula>$B$32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4"/>
  <sheetViews>
    <sheetView topLeftCell="C1"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28515625" style="754" customWidth="1"/>
    <col min="9" max="9" width="14" style="754" customWidth="1"/>
    <col min="10" max="10" width="14.42578125" style="755" customWidth="1"/>
    <col min="11" max="12" width="14.28515625" style="754" customWidth="1"/>
    <col min="13" max="14" width="14.28515625" style="756" customWidth="1"/>
    <col min="15" max="15" width="14.7109375" style="754" customWidth="1"/>
    <col min="16" max="16" width="14.28515625" style="754" customWidth="1"/>
    <col min="17" max="18" width="14.28515625" style="757" customWidth="1"/>
    <col min="19" max="19" width="14.28515625" style="754" customWidth="1"/>
    <col min="20" max="20" width="14.28515625" style="757" customWidth="1"/>
    <col min="21" max="21" width="13.7109375" customWidth="1"/>
    <col min="22" max="22" width="13" style="1159" customWidth="1"/>
    <col min="23" max="23" width="12.85546875" style="754" customWidth="1"/>
    <col min="24" max="24" width="14.28515625" style="757" customWidth="1"/>
    <col min="25" max="25" width="14.85546875" style="754" customWidth="1"/>
    <col min="26" max="26" width="16.28515625" style="754" customWidth="1"/>
    <col min="27" max="27" width="14.28515625" style="754" customWidth="1"/>
    <col min="28" max="28" width="16.28515625" style="754" customWidth="1"/>
    <col min="29" max="29" width="12.5703125" style="754" customWidth="1"/>
    <col min="30" max="36" width="13" style="754" customWidth="1"/>
    <col min="37" max="38" width="12.85546875" style="754" customWidth="1"/>
    <col min="39" max="40" width="11.42578125" style="754"/>
    <col min="41" max="41" width="12.42578125" style="753" customWidth="1"/>
    <col min="42" max="42" width="12.28515625" style="753" customWidth="1"/>
    <col min="43" max="43" width="12.42578125" style="754" customWidth="1"/>
    <col min="44" max="44" width="16.140625" style="757" customWidth="1"/>
    <col min="45" max="46" width="14.5703125" style="754" customWidth="1"/>
    <col min="47" max="48" width="14.5703125" style="756" customWidth="1"/>
    <col min="49" max="52" width="13.42578125" style="754" customWidth="1"/>
    <col min="53" max="53" width="13.42578125" style="489" customWidth="1"/>
    <col min="54" max="54" width="14.85546875" style="754" customWidth="1"/>
    <col min="55" max="55" width="14.85546875" style="758" customWidth="1"/>
    <col min="56" max="56" width="11.5703125" customWidth="1"/>
    <col min="57" max="57" width="11.42578125" style="754" customWidth="1"/>
    <col min="58" max="74" width="11.42578125" style="754"/>
    <col min="75" max="75" width="14.85546875" style="529" hidden="1" customWidth="1"/>
    <col min="76" max="16384" width="11.42578125" style="754"/>
  </cols>
  <sheetData>
    <row r="1" spans="1:75">
      <c r="C1" s="752" t="str">
        <f>Criterios!A9 &amp;"  "&amp;Criterios!B9</f>
        <v>Tribunales de Justicia  ANDALUCIA</v>
      </c>
      <c r="F1" s="753"/>
    </row>
    <row r="2" spans="1:75" ht="16.5" customHeight="1">
      <c r="C2" s="521" t="str">
        <f>Criterios!A10 &amp;"  "&amp;Criterios!B10 &amp; "  " &amp; IF(NOT(ISBLANK(Criterios!A11)),Criterios!A11 &amp;"  "&amp;Criterios!B11,"")</f>
        <v>Provincias  CORDOBA  Resumenes por Partidos Judiciales  PUENTE GENIL</v>
      </c>
      <c r="D2" s="759"/>
      <c r="E2" s="760"/>
      <c r="F2" s="761"/>
      <c r="G2" s="762"/>
      <c r="I2" s="763"/>
      <c r="J2" s="764"/>
      <c r="K2" s="763"/>
      <c r="L2" s="763"/>
      <c r="M2" s="765"/>
      <c r="N2" s="765"/>
      <c r="O2" s="763"/>
      <c r="S2" s="763"/>
      <c r="T2" s="766"/>
    </row>
    <row r="3" spans="1:75" ht="21.75" customHeight="1">
      <c r="C3" s="768"/>
      <c r="D3" s="769"/>
      <c r="F3" s="753"/>
      <c r="G3" s="770"/>
      <c r="I3" s="767"/>
    </row>
    <row r="4" spans="1:75" ht="16.5" customHeight="1" thickBot="1">
      <c r="C4" s="698"/>
      <c r="D4" s="771"/>
      <c r="E4" s="772"/>
      <c r="F4" s="772"/>
      <c r="G4" s="772"/>
      <c r="H4" s="772"/>
      <c r="I4" s="773"/>
      <c r="J4" s="774"/>
      <c r="K4" s="772"/>
      <c r="L4" s="773"/>
      <c r="M4" s="775"/>
      <c r="N4" s="773"/>
      <c r="O4" s="772"/>
      <c r="P4" s="773"/>
      <c r="Q4" s="766"/>
      <c r="R4" s="776"/>
      <c r="S4" s="773"/>
      <c r="T4" s="772"/>
      <c r="W4" s="773"/>
      <c r="X4" s="772"/>
      <c r="Y4" s="773"/>
      <c r="Z4" s="772"/>
      <c r="AA4" s="773"/>
      <c r="AB4" s="773"/>
      <c r="AC4" s="772"/>
      <c r="AD4" s="773"/>
      <c r="AE4" s="772"/>
      <c r="AF4" s="773"/>
      <c r="AG4" s="772"/>
      <c r="AH4" s="773"/>
      <c r="AI4" s="772"/>
      <c r="AJ4" s="773"/>
      <c r="AK4" s="772"/>
      <c r="AL4" s="773"/>
      <c r="AM4" s="772"/>
      <c r="AN4" s="773"/>
      <c r="AO4" s="772"/>
      <c r="AP4" s="772"/>
      <c r="AQ4" s="772"/>
      <c r="AR4" s="773"/>
      <c r="AS4" s="773"/>
      <c r="AT4" s="772"/>
      <c r="AU4" s="773"/>
      <c r="AV4" s="772"/>
      <c r="AW4" s="773"/>
      <c r="AX4" s="773"/>
      <c r="AY4" s="772"/>
      <c r="AZ4" s="772"/>
      <c r="BA4" s="536"/>
      <c r="BB4" s="773"/>
      <c r="BC4" s="772"/>
      <c r="BW4" s="536"/>
    </row>
    <row r="5" spans="1:75" ht="15.75" customHeight="1">
      <c r="A5" s="1424" t="s">
        <v>391</v>
      </c>
      <c r="B5" s="277"/>
      <c r="C5" s="1424"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623</v>
      </c>
      <c r="L5" s="1660" t="s">
        <v>591</v>
      </c>
      <c r="M5" s="1663" t="s">
        <v>649</v>
      </c>
      <c r="N5" s="1660" t="s">
        <v>786</v>
      </c>
      <c r="O5" s="1660" t="s">
        <v>746</v>
      </c>
      <c r="P5" s="1660" t="s">
        <v>190</v>
      </c>
      <c r="Q5" s="1666" t="s">
        <v>743</v>
      </c>
      <c r="R5" s="1666" t="s">
        <v>787</v>
      </c>
      <c r="S5" s="1660" t="s">
        <v>652</v>
      </c>
      <c r="T5" s="1666" t="s">
        <v>624</v>
      </c>
      <c r="U5" s="1666" t="s">
        <v>842</v>
      </c>
      <c r="V5" s="1666" t="s">
        <v>843</v>
      </c>
      <c r="W5" s="1677" t="s">
        <v>675</v>
      </c>
      <c r="X5" s="1695" t="s">
        <v>625</v>
      </c>
      <c r="Y5" s="1677" t="s">
        <v>626</v>
      </c>
      <c r="Z5" s="1677" t="s">
        <v>627</v>
      </c>
      <c r="AA5" s="1660" t="s">
        <v>747</v>
      </c>
      <c r="AB5" s="1660" t="s">
        <v>752</v>
      </c>
      <c r="AC5" s="1660" t="s">
        <v>204</v>
      </c>
      <c r="AD5" s="1683" t="s">
        <v>202</v>
      </c>
      <c r="AE5" s="1660" t="s">
        <v>748</v>
      </c>
      <c r="AF5" s="1686" t="s">
        <v>749</v>
      </c>
      <c r="AG5" s="1689" t="s">
        <v>600</v>
      </c>
      <c r="AH5" s="1660" t="s">
        <v>601</v>
      </c>
      <c r="AI5" s="1660" t="s">
        <v>673</v>
      </c>
      <c r="AJ5" s="1692" t="s">
        <v>674</v>
      </c>
      <c r="AK5" s="1689" t="s">
        <v>205</v>
      </c>
      <c r="AL5" s="1660" t="s">
        <v>631</v>
      </c>
      <c r="AM5" s="1660" t="s">
        <v>274</v>
      </c>
      <c r="AN5" s="1660" t="s">
        <v>275</v>
      </c>
      <c r="AO5" s="1660" t="s">
        <v>276</v>
      </c>
      <c r="AP5" s="1660" t="s">
        <v>632</v>
      </c>
      <c r="AQ5" s="1660" t="s">
        <v>277</v>
      </c>
      <c r="AR5" s="1660" t="s">
        <v>633</v>
      </c>
      <c r="AS5" s="1660" t="s">
        <v>634</v>
      </c>
      <c r="AT5" s="1660" t="s">
        <v>635</v>
      </c>
      <c r="AU5" s="1660" t="s">
        <v>660</v>
      </c>
      <c r="AV5" s="1660" t="s">
        <v>653</v>
      </c>
      <c r="AW5" s="1660" t="s">
        <v>915</v>
      </c>
      <c r="AX5" s="1660" t="s">
        <v>918</v>
      </c>
      <c r="AY5" s="1660" t="s">
        <v>920</v>
      </c>
      <c r="AZ5" s="1660" t="s">
        <v>654</v>
      </c>
      <c r="BA5" s="1660" t="s">
        <v>954</v>
      </c>
      <c r="BB5" s="1660" t="s">
        <v>636</v>
      </c>
      <c r="BC5" s="1660" t="s">
        <v>599</v>
      </c>
      <c r="BW5" s="1660" t="s">
        <v>844</v>
      </c>
    </row>
    <row r="6" spans="1:75" ht="21.75" customHeight="1">
      <c r="A6" s="1714"/>
      <c r="B6" s="777"/>
      <c r="C6" s="1716"/>
      <c r="D6" s="1661"/>
      <c r="E6" s="1661"/>
      <c r="F6" s="1672"/>
      <c r="G6" s="1661"/>
      <c r="H6" s="1661"/>
      <c r="I6" s="1661"/>
      <c r="J6" s="1661"/>
      <c r="K6" s="1661"/>
      <c r="L6" s="1661"/>
      <c r="M6" s="1664"/>
      <c r="N6" s="1661"/>
      <c r="O6" s="1661"/>
      <c r="P6" s="1661"/>
      <c r="Q6" s="1667"/>
      <c r="R6" s="1667"/>
      <c r="S6" s="1661"/>
      <c r="T6" s="1667"/>
      <c r="U6" s="1667"/>
      <c r="V6" s="1667"/>
      <c r="W6" s="1678"/>
      <c r="X6" s="1696"/>
      <c r="Y6" s="1678"/>
      <c r="Z6" s="1678"/>
      <c r="AA6" s="1661"/>
      <c r="AB6" s="1661"/>
      <c r="AC6" s="1661"/>
      <c r="AD6" s="1684"/>
      <c r="AE6" s="1661"/>
      <c r="AF6" s="1687"/>
      <c r="AG6" s="1690"/>
      <c r="AH6" s="1661"/>
      <c r="AI6" s="1661"/>
      <c r="AJ6" s="1693"/>
      <c r="AK6" s="1690"/>
      <c r="AL6" s="1661"/>
      <c r="AM6" s="1661"/>
      <c r="AN6" s="1661"/>
      <c r="AO6" s="1661"/>
      <c r="AP6" s="1661"/>
      <c r="AQ6" s="1661"/>
      <c r="AR6" s="1661"/>
      <c r="AS6" s="1661"/>
      <c r="AT6" s="1661"/>
      <c r="AU6" s="1661"/>
      <c r="AV6" s="1661"/>
      <c r="AW6" s="1661"/>
      <c r="AX6" s="1661"/>
      <c r="AY6" s="1661"/>
      <c r="AZ6" s="1661"/>
      <c r="BA6" s="1661"/>
      <c r="BB6" s="1661"/>
      <c r="BC6" s="1661"/>
      <c r="BW6" s="1661"/>
    </row>
    <row r="7" spans="1:75" ht="38.25" customHeight="1" thickBot="1">
      <c r="A7" s="1715"/>
      <c r="B7" s="778"/>
      <c r="C7" s="779" t="str">
        <f>DatosP!A7</f>
        <v>COMPETENCIAS</v>
      </c>
      <c r="D7" s="1662"/>
      <c r="E7" s="1662"/>
      <c r="F7" s="1673"/>
      <c r="G7" s="1662"/>
      <c r="H7" s="1662"/>
      <c r="I7" s="1662"/>
      <c r="J7" s="1662"/>
      <c r="K7" s="1662"/>
      <c r="L7" s="1662"/>
      <c r="M7" s="1665"/>
      <c r="N7" s="1662"/>
      <c r="O7" s="1662"/>
      <c r="P7" s="1662"/>
      <c r="Q7" s="1668"/>
      <c r="R7" s="1668"/>
      <c r="S7" s="1662"/>
      <c r="T7" s="1668"/>
      <c r="U7" s="1668"/>
      <c r="V7" s="1668"/>
      <c r="W7" s="1679"/>
      <c r="X7" s="1697"/>
      <c r="Y7" s="1679"/>
      <c r="Z7" s="1679"/>
      <c r="AA7" s="1662"/>
      <c r="AB7" s="1662"/>
      <c r="AC7" s="1662"/>
      <c r="AD7" s="1685"/>
      <c r="AE7" s="1662"/>
      <c r="AF7" s="1688"/>
      <c r="AG7" s="1691"/>
      <c r="AH7" s="1662"/>
      <c r="AI7" s="1662"/>
      <c r="AJ7" s="1694"/>
      <c r="AK7" s="1691"/>
      <c r="AL7" s="1662"/>
      <c r="AM7" s="1662"/>
      <c r="AN7" s="1662"/>
      <c r="AO7" s="1662"/>
      <c r="AP7" s="1662"/>
      <c r="AQ7" s="1662"/>
      <c r="AR7" s="1662"/>
      <c r="AS7" s="1662"/>
      <c r="AT7" s="1662"/>
      <c r="AU7" s="1662"/>
      <c r="AV7" s="1662"/>
      <c r="AW7" s="1662"/>
      <c r="AX7" s="1662"/>
      <c r="AY7" s="1662"/>
      <c r="AZ7" s="1662"/>
      <c r="BA7" s="1662"/>
      <c r="BB7" s="1662"/>
      <c r="BC7" s="1662"/>
      <c r="BW7" s="1662"/>
    </row>
    <row r="8" spans="1:75" ht="15" thickTop="1">
      <c r="A8" s="780"/>
      <c r="B8" s="780"/>
      <c r="C8" s="166" t="str">
        <f>DatosP!A8</f>
        <v>Jurisdicción Civil ( 1 ):</v>
      </c>
      <c r="D8" s="781"/>
      <c r="E8" s="781"/>
      <c r="F8" s="782"/>
      <c r="G8" s="783"/>
      <c r="H8" s="784"/>
      <c r="I8" s="782"/>
      <c r="J8" s="784"/>
      <c r="K8" s="784"/>
      <c r="L8" s="784"/>
      <c r="M8" s="785"/>
      <c r="N8" s="785"/>
      <c r="O8" s="784"/>
      <c r="P8" s="784"/>
      <c r="Q8" s="786"/>
      <c r="R8" s="786"/>
      <c r="S8" s="784"/>
      <c r="T8" s="786"/>
      <c r="U8" s="304"/>
      <c r="V8" s="1160"/>
      <c r="W8" s="787"/>
      <c r="X8" s="788"/>
      <c r="Y8" s="782"/>
      <c r="Z8" s="784"/>
      <c r="AA8" s="782"/>
      <c r="AB8" s="784"/>
      <c r="AC8" s="789"/>
      <c r="AD8" s="782"/>
      <c r="AE8" s="784"/>
      <c r="AF8" s="790"/>
      <c r="AG8" s="791"/>
      <c r="AH8" s="792"/>
      <c r="AI8" s="791"/>
      <c r="AJ8" s="792"/>
      <c r="AK8" s="782"/>
      <c r="AL8" s="784"/>
      <c r="AM8" s="793"/>
      <c r="AN8" s="794"/>
      <c r="AO8" s="920"/>
      <c r="AP8" s="921"/>
      <c r="AQ8" s="787"/>
      <c r="AR8" s="795"/>
      <c r="AS8" s="795"/>
      <c r="AT8" s="796"/>
      <c r="AU8" s="797"/>
      <c r="AV8" s="797"/>
      <c r="AW8" s="795"/>
      <c r="AX8" s="795"/>
      <c r="AY8" s="795"/>
      <c r="AZ8" s="795"/>
      <c r="BA8" s="229"/>
      <c r="BB8" s="798"/>
      <c r="BC8" s="799"/>
      <c r="BW8" s="497"/>
    </row>
    <row r="9" spans="1:75" s="753" customFormat="1" ht="14.25">
      <c r="A9" s="653">
        <f>DatosP!AO9</f>
        <v>0</v>
      </c>
      <c r="B9" s="653" t="s">
        <v>273</v>
      </c>
      <c r="C9" s="671" t="str">
        <f>DatosP!A9</f>
        <v xml:space="preserve">Jdos. 1ª Instancia   </v>
      </c>
      <c r="D9" s="544"/>
      <c r="E9" s="814"/>
      <c r="F9" s="802"/>
      <c r="G9" s="803"/>
      <c r="H9" s="804"/>
      <c r="I9" s="802"/>
      <c r="J9" s="804"/>
      <c r="K9" s="804"/>
      <c r="L9" s="804"/>
      <c r="M9" s="801"/>
      <c r="N9" s="801"/>
      <c r="O9" s="804"/>
      <c r="P9" s="804"/>
      <c r="Q9" s="1293"/>
      <c r="R9" s="1293"/>
      <c r="S9" s="804"/>
      <c r="T9" s="859"/>
      <c r="U9" s="502"/>
      <c r="V9" s="1161"/>
      <c r="W9" s="802"/>
      <c r="X9" s="859"/>
      <c r="Y9" s="802"/>
      <c r="Z9" s="804"/>
      <c r="AA9" s="807"/>
      <c r="AB9" s="808"/>
      <c r="AC9" s="801"/>
      <c r="AD9" s="802"/>
      <c r="AE9" s="809"/>
      <c r="AF9" s="810"/>
      <c r="AG9" s="809"/>
      <c r="AH9" s="810"/>
      <c r="AI9" s="809"/>
      <c r="AJ9" s="810"/>
      <c r="AK9" s="802"/>
      <c r="AL9" s="811"/>
      <c r="AM9" s="811"/>
      <c r="AN9" s="812"/>
      <c r="AO9" s="813"/>
      <c r="AP9" s="814"/>
      <c r="AQ9" s="813"/>
      <c r="AR9" s="815"/>
      <c r="AS9" s="815"/>
      <c r="AT9" s="816"/>
      <c r="AU9" s="817"/>
      <c r="AV9" s="817"/>
      <c r="AW9" s="818"/>
      <c r="AX9" s="818"/>
      <c r="AY9" s="818"/>
      <c r="AZ9" s="818"/>
      <c r="BA9" s="634"/>
      <c r="BB9" s="818"/>
      <c r="BC9" s="819"/>
      <c r="BW9" s="1183">
        <f>DatosP!ER9/factor_trimestre</f>
        <v>0</v>
      </c>
    </row>
    <row r="10" spans="1:75" s="753" customFormat="1" ht="14.25">
      <c r="A10" s="653">
        <f>DatosP!AO10</f>
        <v>0</v>
      </c>
      <c r="B10" s="654" t="s">
        <v>273</v>
      </c>
      <c r="C10" s="655" t="str">
        <f>DatosP!A10</f>
        <v>Jdos. Violencia contra la mujer</v>
      </c>
      <c r="D10" s="549"/>
      <c r="E10" s="814"/>
      <c r="F10" s="802"/>
      <c r="G10" s="803"/>
      <c r="H10" s="804"/>
      <c r="I10" s="802"/>
      <c r="J10" s="804"/>
      <c r="K10" s="804"/>
      <c r="L10" s="804"/>
      <c r="M10" s="801"/>
      <c r="N10" s="801"/>
      <c r="O10" s="804"/>
      <c r="P10" s="804"/>
      <c r="Q10" s="1293"/>
      <c r="R10" s="1293"/>
      <c r="S10" s="804"/>
      <c r="T10" s="859"/>
      <c r="U10" s="502"/>
      <c r="V10" s="1161"/>
      <c r="W10" s="802"/>
      <c r="X10" s="859"/>
      <c r="Y10" s="802"/>
      <c r="Z10" s="804"/>
      <c r="AA10" s="807"/>
      <c r="AB10" s="808"/>
      <c r="AC10" s="801"/>
      <c r="AD10" s="802"/>
      <c r="AE10" s="809"/>
      <c r="AF10" s="810"/>
      <c r="AG10" s="809"/>
      <c r="AH10" s="810"/>
      <c r="AI10" s="809"/>
      <c r="AJ10" s="810"/>
      <c r="AK10" s="802"/>
      <c r="AL10" s="811"/>
      <c r="AM10" s="811"/>
      <c r="AN10" s="812"/>
      <c r="AO10" s="813"/>
      <c r="AP10" s="814"/>
      <c r="AQ10" s="813"/>
      <c r="AR10" s="815"/>
      <c r="AS10" s="815"/>
      <c r="AT10" s="816"/>
      <c r="AU10" s="817"/>
      <c r="AV10" s="817"/>
      <c r="AW10" s="818"/>
      <c r="AX10" s="818"/>
      <c r="AY10" s="818"/>
      <c r="AZ10" s="818"/>
      <c r="BA10" s="634"/>
      <c r="BB10" s="818"/>
      <c r="BC10" s="819"/>
      <c r="BW10" s="1183">
        <f>DatosP!ER10/factor_trimestre</f>
        <v>0</v>
      </c>
    </row>
    <row r="11" spans="1:75" s="753" customFormat="1" ht="14.25">
      <c r="A11" s="653">
        <f>DatosP!AO11</f>
        <v>0</v>
      </c>
      <c r="B11" s="654" t="s">
        <v>273</v>
      </c>
      <c r="C11" s="655" t="str">
        <f>DatosP!A11</f>
        <v xml:space="preserve">Jdos. Familia                                   </v>
      </c>
      <c r="D11" s="549"/>
      <c r="E11" s="814"/>
      <c r="F11" s="802"/>
      <c r="G11" s="803"/>
      <c r="H11" s="804"/>
      <c r="I11" s="802"/>
      <c r="J11" s="804"/>
      <c r="K11" s="804"/>
      <c r="L11" s="804"/>
      <c r="M11" s="801"/>
      <c r="N11" s="801"/>
      <c r="O11" s="804"/>
      <c r="P11" s="804"/>
      <c r="Q11" s="1293"/>
      <c r="R11" s="1293"/>
      <c r="S11" s="804"/>
      <c r="T11" s="859"/>
      <c r="U11" s="502"/>
      <c r="V11" s="1161"/>
      <c r="W11" s="802"/>
      <c r="X11" s="859"/>
      <c r="Y11" s="802"/>
      <c r="Z11" s="804"/>
      <c r="AA11" s="807"/>
      <c r="AB11" s="808"/>
      <c r="AC11" s="801"/>
      <c r="AD11" s="802"/>
      <c r="AE11" s="809"/>
      <c r="AF11" s="810"/>
      <c r="AG11" s="809"/>
      <c r="AH11" s="810"/>
      <c r="AI11" s="809"/>
      <c r="AJ11" s="810"/>
      <c r="AK11" s="802"/>
      <c r="AL11" s="811"/>
      <c r="AM11" s="811"/>
      <c r="AN11" s="812"/>
      <c r="AO11" s="813"/>
      <c r="AP11" s="814"/>
      <c r="AQ11" s="813"/>
      <c r="AR11" s="815"/>
      <c r="AS11" s="815"/>
      <c r="AT11" s="816"/>
      <c r="AU11" s="817"/>
      <c r="AV11" s="817"/>
      <c r="AW11" s="818"/>
      <c r="AX11" s="818"/>
      <c r="AY11" s="818"/>
      <c r="AZ11" s="818"/>
      <c r="BA11" s="634"/>
      <c r="BB11" s="818"/>
      <c r="BC11" s="819"/>
      <c r="BW11" s="1183">
        <f>DatosP!ER11/factor_trimestre</f>
        <v>0</v>
      </c>
    </row>
    <row r="12" spans="1:75" s="753" customFormat="1" ht="14.25">
      <c r="A12" s="653">
        <f>DatosP!AO12</f>
        <v>0</v>
      </c>
      <c r="B12" s="654" t="s">
        <v>273</v>
      </c>
      <c r="C12" s="655" t="str">
        <f>DatosP!A12</f>
        <v xml:space="preserve">Jdos. 1ª Instª. e Instr.                        </v>
      </c>
      <c r="D12" s="549"/>
      <c r="E12" s="814"/>
      <c r="F12" s="802"/>
      <c r="G12" s="803"/>
      <c r="H12" s="804"/>
      <c r="I12" s="802"/>
      <c r="J12" s="804"/>
      <c r="K12" s="804"/>
      <c r="L12" s="804"/>
      <c r="M12" s="801"/>
      <c r="N12" s="801"/>
      <c r="O12" s="804"/>
      <c r="P12" s="804"/>
      <c r="Q12" s="1293"/>
      <c r="R12" s="1293"/>
      <c r="S12" s="804"/>
      <c r="T12" s="859"/>
      <c r="U12" s="502"/>
      <c r="V12" s="1161"/>
      <c r="W12" s="802"/>
      <c r="X12" s="859"/>
      <c r="Y12" s="802"/>
      <c r="Z12" s="804"/>
      <c r="AA12" s="807"/>
      <c r="AB12" s="808"/>
      <c r="AC12" s="801"/>
      <c r="AD12" s="802"/>
      <c r="AE12" s="809"/>
      <c r="AF12" s="810"/>
      <c r="AG12" s="809"/>
      <c r="AH12" s="810"/>
      <c r="AI12" s="809"/>
      <c r="AJ12" s="810"/>
      <c r="AK12" s="802"/>
      <c r="AL12" s="811"/>
      <c r="AM12" s="811"/>
      <c r="AN12" s="812"/>
      <c r="AO12" s="813"/>
      <c r="AP12" s="814"/>
      <c r="AQ12" s="813"/>
      <c r="AR12" s="815"/>
      <c r="AS12" s="815"/>
      <c r="AT12" s="816"/>
      <c r="AU12" s="817"/>
      <c r="AV12" s="817"/>
      <c r="AW12" s="818"/>
      <c r="AX12" s="818"/>
      <c r="AY12" s="818"/>
      <c r="AZ12" s="818"/>
      <c r="BA12" s="634"/>
      <c r="BB12" s="818"/>
      <c r="BC12" s="819"/>
      <c r="BW12" s="1183">
        <f>DatosP!ER12/factor_trimestre</f>
        <v>0</v>
      </c>
    </row>
    <row r="13" spans="1:75" s="753" customFormat="1" ht="15" thickBot="1">
      <c r="A13" s="653">
        <f>DatosP!AO13</f>
        <v>0</v>
      </c>
      <c r="B13" s="654" t="s">
        <v>273</v>
      </c>
      <c r="C13" s="655" t="str">
        <f>DatosP!A13</f>
        <v xml:space="preserve">Jdos. de Menores    </v>
      </c>
      <c r="D13" s="549"/>
      <c r="E13" s="814"/>
      <c r="F13" s="802"/>
      <c r="G13" s="803"/>
      <c r="H13" s="804"/>
      <c r="I13" s="802"/>
      <c r="J13" s="804"/>
      <c r="K13" s="804"/>
      <c r="L13" s="804"/>
      <c r="M13" s="801"/>
      <c r="N13" s="801"/>
      <c r="O13" s="804"/>
      <c r="P13" s="804"/>
      <c r="Q13" s="1293"/>
      <c r="R13" s="1293"/>
      <c r="S13" s="804"/>
      <c r="T13" s="859"/>
      <c r="U13" s="502"/>
      <c r="V13" s="1161"/>
      <c r="W13" s="802"/>
      <c r="X13" s="859"/>
      <c r="Y13" s="802"/>
      <c r="Z13" s="804"/>
      <c r="AA13" s="807"/>
      <c r="AB13" s="808"/>
      <c r="AC13" s="801"/>
      <c r="AD13" s="802"/>
      <c r="AE13" s="809"/>
      <c r="AF13" s="810"/>
      <c r="AG13" s="809"/>
      <c r="AH13" s="810"/>
      <c r="AI13" s="809"/>
      <c r="AJ13" s="810"/>
      <c r="AK13" s="802"/>
      <c r="AL13" s="811"/>
      <c r="AM13" s="811"/>
      <c r="AN13" s="812"/>
      <c r="AO13" s="813"/>
      <c r="AP13" s="814"/>
      <c r="AQ13" s="813"/>
      <c r="AR13" s="815"/>
      <c r="AS13" s="815"/>
      <c r="AT13" s="816"/>
      <c r="AU13" s="817"/>
      <c r="AV13" s="817"/>
      <c r="AW13" s="818"/>
      <c r="AX13" s="818"/>
      <c r="AY13" s="818"/>
      <c r="AZ13" s="818"/>
      <c r="BA13" s="634"/>
      <c r="BB13" s="818"/>
      <c r="BC13" s="819"/>
      <c r="BW13" s="1183">
        <f>DatosP!ER13/factor_trimestre</f>
        <v>0</v>
      </c>
    </row>
    <row r="14" spans="1:75" ht="15.75" thickTop="1" thickBot="1">
      <c r="A14" s="832"/>
      <c r="B14" s="832"/>
      <c r="C14" s="1083" t="str">
        <f>DatosP!A14</f>
        <v>TOTAL</v>
      </c>
      <c r="D14" s="1084"/>
      <c r="E14" s="1095">
        <f t="shared" ref="E14:W14" si="0">SUBTOTAL(9,E8:E13)</f>
        <v>0</v>
      </c>
      <c r="F14" s="1085">
        <f t="shared" si="0"/>
        <v>0</v>
      </c>
      <c r="G14" s="1085">
        <f t="shared" si="0"/>
        <v>0</v>
      </c>
      <c r="H14" s="1086">
        <f t="shared" si="0"/>
        <v>0</v>
      </c>
      <c r="I14" s="1085">
        <f t="shared" si="0"/>
        <v>0</v>
      </c>
      <c r="J14" s="1087">
        <f t="shared" si="0"/>
        <v>0</v>
      </c>
      <c r="K14" s="1086">
        <f t="shared" si="0"/>
        <v>0</v>
      </c>
      <c r="L14" s="1086">
        <f t="shared" si="0"/>
        <v>0</v>
      </c>
      <c r="M14" s="1088">
        <f t="shared" si="0"/>
        <v>0</v>
      </c>
      <c r="N14" s="1088">
        <f t="shared" si="0"/>
        <v>0</v>
      </c>
      <c r="O14" s="1086">
        <f t="shared" si="0"/>
        <v>0</v>
      </c>
      <c r="P14" s="1086">
        <f t="shared" si="0"/>
        <v>0</v>
      </c>
      <c r="Q14" s="1294">
        <f t="shared" si="0"/>
        <v>0</v>
      </c>
      <c r="R14" s="1294">
        <f t="shared" si="0"/>
        <v>0</v>
      </c>
      <c r="S14" s="1086">
        <f t="shared" si="0"/>
        <v>0</v>
      </c>
      <c r="T14" s="1294">
        <f t="shared" si="0"/>
        <v>0</v>
      </c>
      <c r="U14" s="1014">
        <f t="shared" si="0"/>
        <v>0</v>
      </c>
      <c r="V14" s="1162">
        <f t="shared" si="0"/>
        <v>0</v>
      </c>
      <c r="W14" s="1086">
        <f t="shared" si="0"/>
        <v>0</v>
      </c>
      <c r="X14" s="1090" t="str">
        <f>IF(ISNUMBER((W14*factor_trimestre)/DatosP!CN14),(W14*factor_trimestre)/DatosP!CN14,"-")</f>
        <v>-</v>
      </c>
      <c r="Y14" s="1086">
        <f t="shared" ref="Y14:AN14" si="1">SUBTOTAL(9,Y8:Y13)</f>
        <v>0</v>
      </c>
      <c r="Z14" s="1086">
        <f t="shared" si="1"/>
        <v>0</v>
      </c>
      <c r="AA14" s="1086">
        <f t="shared" si="1"/>
        <v>0</v>
      </c>
      <c r="AB14" s="1086">
        <f t="shared" si="1"/>
        <v>0</v>
      </c>
      <c r="AC14" s="1086">
        <f t="shared" si="1"/>
        <v>0</v>
      </c>
      <c r="AD14" s="1086">
        <f t="shared" si="1"/>
        <v>0</v>
      </c>
      <c r="AE14" s="1086">
        <f t="shared" si="1"/>
        <v>0</v>
      </c>
      <c r="AF14" s="1086">
        <f t="shared" si="1"/>
        <v>0</v>
      </c>
      <c r="AG14" s="1086">
        <f t="shared" si="1"/>
        <v>0</v>
      </c>
      <c r="AH14" s="1086">
        <f t="shared" si="1"/>
        <v>0</v>
      </c>
      <c r="AI14" s="1086">
        <f t="shared" si="1"/>
        <v>0</v>
      </c>
      <c r="AJ14" s="1086">
        <f t="shared" si="1"/>
        <v>0</v>
      </c>
      <c r="AK14" s="1086">
        <f t="shared" si="1"/>
        <v>0</v>
      </c>
      <c r="AL14" s="1086">
        <f t="shared" si="1"/>
        <v>0</v>
      </c>
      <c r="AM14" s="1086">
        <f t="shared" si="1"/>
        <v>0</v>
      </c>
      <c r="AN14" s="1086">
        <f t="shared" si="1"/>
        <v>0</v>
      </c>
      <c r="AO14" s="1086" t="str">
        <f>IF(ISNUMBER(DatosP!K14/DatosP!J14),DatosP!K14/DatosP!J14," - ")</f>
        <v xml:space="preserve"> - </v>
      </c>
      <c r="AP14" s="1091" t="str">
        <f>IF(ISNUMBER(((DatosP!L14/DatosP!K14)*11)/factor_trimestre),((DatosP!L14/DatosP!K14)*11)/factor_trimestre," - ")</f>
        <v xml:space="preserve"> - </v>
      </c>
      <c r="AQ14" s="1086">
        <f>IF(ISNUMBER('Resol  Asuntos'!D14/NºAsuntos!G14),'Resol  Asuntos'!D14/NºAsuntos!G14," - ")</f>
        <v>0.26666666666666666</v>
      </c>
      <c r="AR14" s="1086" t="str">
        <f>IF(ISNUMBER(DatosP!CI14/DatosP!CJ14),DatosP!CI14/DatosP!CJ14," - ")</f>
        <v xml:space="preserve"> - </v>
      </c>
      <c r="AS14" s="1092" t="str">
        <f>IF(ISNUMBER((I14-Y14+K14)/(F14-K14)),(I14-Y14+K14)/(F14-K14)," - ")</f>
        <v xml:space="preserve"> - </v>
      </c>
      <c r="AT14" s="1092">
        <f>SUBTOTAL(9,AT9:AT13)</f>
        <v>0</v>
      </c>
      <c r="AU14" s="1086">
        <f t="shared" ref="AU14:BA14" si="2">SUBTOTAL(9,AU8:AU13)</f>
        <v>0</v>
      </c>
      <c r="AV14" s="1086">
        <f t="shared" si="2"/>
        <v>0</v>
      </c>
      <c r="AW14" s="1086">
        <f t="shared" si="2"/>
        <v>0</v>
      </c>
      <c r="AX14" s="1086">
        <f t="shared" si="2"/>
        <v>0</v>
      </c>
      <c r="AY14" s="1086">
        <f t="shared" si="2"/>
        <v>0</v>
      </c>
      <c r="AZ14" s="1086">
        <f t="shared" si="2"/>
        <v>0</v>
      </c>
      <c r="BA14" s="1046">
        <f t="shared" si="2"/>
        <v>0</v>
      </c>
      <c r="BB14" s="1086"/>
      <c r="BC14" s="1086"/>
      <c r="BW14" s="1046"/>
    </row>
    <row r="15" spans="1:75" ht="15" thickTop="1">
      <c r="A15" s="551"/>
      <c r="B15" s="551"/>
      <c r="C15" s="291" t="str">
        <f>DatosP!A15</f>
        <v xml:space="preserve">Jurisdicción Penal ( 2 ):                      </v>
      </c>
      <c r="D15" s="553"/>
      <c r="E15" s="835"/>
      <c r="F15" s="836"/>
      <c r="G15" s="837"/>
      <c r="H15" s="838"/>
      <c r="I15" s="839"/>
      <c r="J15" s="784"/>
      <c r="K15" s="838"/>
      <c r="L15" s="821"/>
      <c r="M15" s="838"/>
      <c r="N15" s="838"/>
      <c r="O15" s="821"/>
      <c r="P15" s="821"/>
      <c r="Q15" s="1295"/>
      <c r="R15" s="1295"/>
      <c r="S15" s="821"/>
      <c r="T15" s="841"/>
      <c r="U15" s="305"/>
      <c r="V15" s="1163"/>
      <c r="W15" s="823"/>
      <c r="X15" s="841"/>
      <c r="Y15" s="823"/>
      <c r="Z15" s="821"/>
      <c r="AA15" s="839"/>
      <c r="AB15" s="825"/>
      <c r="AC15" s="824"/>
      <c r="AD15" s="823"/>
      <c r="AE15" s="791"/>
      <c r="AF15" s="792"/>
      <c r="AG15" s="791"/>
      <c r="AH15" s="792"/>
      <c r="AI15" s="791"/>
      <c r="AJ15" s="792"/>
      <c r="AK15" s="823"/>
      <c r="AL15" s="826"/>
      <c r="AM15" s="826"/>
      <c r="AN15" s="827"/>
      <c r="AO15" s="813"/>
      <c r="AP15" s="814"/>
      <c r="AQ15" s="828"/>
      <c r="AR15" s="829"/>
      <c r="AS15" s="829"/>
      <c r="AT15" s="842"/>
      <c r="AU15" s="843"/>
      <c r="AV15" s="843"/>
      <c r="AW15" s="830"/>
      <c r="AX15" s="830"/>
      <c r="AY15" s="844"/>
      <c r="AZ15" s="844"/>
      <c r="BA15" s="560"/>
      <c r="BB15" s="830"/>
      <c r="BC15" s="831"/>
      <c r="BW15" s="501"/>
    </row>
    <row r="16" spans="1:75" s="854" customFormat="1" ht="15">
      <c r="A16" s="646">
        <f>DatosP!AO16</f>
        <v>0</v>
      </c>
      <c r="B16" s="647" t="s">
        <v>437</v>
      </c>
      <c r="C16" s="657" t="str">
        <f>DatosP!A16</f>
        <v xml:space="preserve">Jdos. Instrucción                               </v>
      </c>
      <c r="D16" s="658"/>
      <c r="E16" s="1341"/>
      <c r="F16" s="847"/>
      <c r="G16" s="848"/>
      <c r="H16" s="849"/>
      <c r="I16" s="847"/>
      <c r="J16" s="821"/>
      <c r="K16" s="849"/>
      <c r="L16" s="821"/>
      <c r="M16" s="850"/>
      <c r="N16" s="850"/>
      <c r="O16" s="821"/>
      <c r="P16" s="821"/>
      <c r="Q16" s="1296"/>
      <c r="R16" s="1296"/>
      <c r="S16" s="821"/>
      <c r="T16" s="841"/>
      <c r="U16" s="502" t="str">
        <f>IF(ISNUMBER(DatosP!EO16),DatosP!EO16," - ")</f>
        <v xml:space="preserve"> - </v>
      </c>
      <c r="V16" s="1161" t="e">
        <f>(U16/DatosP!ER16)*factor_trimestre</f>
        <v>#VALUE!</v>
      </c>
      <c r="W16" s="823"/>
      <c r="X16" s="841"/>
      <c r="Y16" s="823"/>
      <c r="Z16" s="821"/>
      <c r="AA16" s="852"/>
      <c r="AB16" s="825"/>
      <c r="AC16" s="824"/>
      <c r="AD16" s="823"/>
      <c r="AE16" s="791"/>
      <c r="AF16" s="792"/>
      <c r="AG16" s="791"/>
      <c r="AH16" s="792"/>
      <c r="AI16" s="791"/>
      <c r="AJ16" s="792"/>
      <c r="AK16" s="823"/>
      <c r="AL16" s="826"/>
      <c r="AM16" s="826"/>
      <c r="AN16" s="827"/>
      <c r="AO16" s="813" t="str">
        <f>IF(ISNUMBER(IF(D_I="SI",DatosP!K16/DatosP!J16,(DatosP!K16+DatosP!AE16)/(DatosP!J16+DatosP!AD16))),IF(D_I="SI",DatosP!K16/DatosP!J16,(DatosP!K16+DatosP!AE16)/(DatosP!J16+DatosP!AD16))," - ")</f>
        <v xml:space="preserve"> - </v>
      </c>
      <c r="AP16" s="814" t="str">
        <f>IF(ISNUMBER(((IF(D_I="SI",DatosP!L16/DatosP!K16,(DatosP!L16+DatosP!AF16)/(DatosP!K16+DatosP!AE16)))*11)/factor_trimestre),((IF(D_I="SI",DatosP!L16/DatosP!K16,(DatosP!L16+DatosP!AF16)/(DatosP!K16+DatosP!AE16)))*11)/factor_trimestre," - ")</f>
        <v xml:space="preserve"> - </v>
      </c>
      <c r="AQ16" s="828"/>
      <c r="AR16" s="829"/>
      <c r="AS16" s="829"/>
      <c r="AT16" s="842"/>
      <c r="AU16" s="853"/>
      <c r="AV16" s="853"/>
      <c r="AW16" s="830"/>
      <c r="AX16" s="830"/>
      <c r="AY16" s="846"/>
      <c r="AZ16" s="846"/>
      <c r="BA16" s="650"/>
      <c r="BB16" s="830"/>
      <c r="BC16" s="831"/>
      <c r="BW16" s="1183">
        <f>DatosP!ER16/factor_trimestre</f>
        <v>0</v>
      </c>
    </row>
    <row r="17" spans="1:75" s="753" customFormat="1" ht="15">
      <c r="A17" s="653">
        <f>DatosP!AO17</f>
        <v>0</v>
      </c>
      <c r="B17" s="654" t="s">
        <v>437</v>
      </c>
      <c r="C17" s="671" t="str">
        <f>DatosP!A17</f>
        <v xml:space="preserve">Jdos. 1ª Instª. e Instr.                        </v>
      </c>
      <c r="D17" s="544"/>
      <c r="E17" s="1342" t="str">
        <f>IF(ISNUMBER(DatosP!AQ17),DatosP!AQ17," - ")</f>
        <v xml:space="preserve"> - </v>
      </c>
      <c r="F17" s="802" t="str">
        <f>IF(ISNUMBER(AA17+Y17-DatosP!J17-K17),AA17+Y17-DatosP!J17-K17," - ")</f>
        <v xml:space="preserve"> - </v>
      </c>
      <c r="G17" s="803" t="str">
        <f>IF(ISNUMBER(IF(D_I="SI",DatosP!I17,DatosP!I17+DatosP!AC17)),IF(D_I="SI",DatosP!I17,DatosP!I17+DatosP!AC17)," - ")</f>
        <v xml:space="preserve"> - </v>
      </c>
      <c r="H17" s="804"/>
      <c r="I17" s="802" t="str">
        <f>IF(ISNUMBER(DatosP!DC17),DatosP!DC17," - ")</f>
        <v xml:space="preserve"> - </v>
      </c>
      <c r="J17" s="804" t="str">
        <f>IF(ISNUMBER(DatosP!DC17),DatosP!DC17," - ")</f>
        <v xml:space="preserve"> - </v>
      </c>
      <c r="K17" s="804">
        <f>IF(ISNUMBER(DatosP!DF17),DatosP!DF17,0)</f>
        <v>0</v>
      </c>
      <c r="L17" s="804">
        <f>IF(ISNUMBER(DatosP!DM17),DatosP!DM17,0)</f>
        <v>0</v>
      </c>
      <c r="M17" s="801"/>
      <c r="N17" s="801"/>
      <c r="O17" s="804">
        <f>IF(ISNUMBER(DatosP!P17),DatosP!P17,0)</f>
        <v>0</v>
      </c>
      <c r="P17" s="804" t="str">
        <f>IF(ISNUMBER(DatosP!DE17),DatosP!DE17," - ")</f>
        <v xml:space="preserve"> - </v>
      </c>
      <c r="Q17" s="1293"/>
      <c r="R17" s="1293"/>
      <c r="S17" s="804" t="str">
        <f>IF(ISNUMBER(DatosP!AS17/E17),DatosP!AS17/E17," - ")</f>
        <v xml:space="preserve"> - </v>
      </c>
      <c r="T17" s="859" t="str">
        <f>IF(ISNUMBER(S17/(DatosP!BM17/factor_trimestre)),S17/(DatosP!BM17/factor_trimestre)," - ")</f>
        <v xml:space="preserve"> - </v>
      </c>
      <c r="U17" s="502" t="str">
        <f>IF(ISNUMBER(DatosP!EO17),DatosP!EO17," - ")</f>
        <v xml:space="preserve"> - </v>
      </c>
      <c r="V17" s="1161" t="e">
        <f>(U17/DatosP!ER17)*factor_trimestre</f>
        <v>#VALUE!</v>
      </c>
      <c r="W17" s="802" t="str">
        <f>IF(ISNUMBER(DatosP!BY17),DatosP!BY17," - ")</f>
        <v xml:space="preserve"> - </v>
      </c>
      <c r="X17" s="859" t="str">
        <f>IF(ISNUMBER((W17*factor_trimestre)/DatosP!CN17),(W17*factor_trimestre)/DatosP!CN17,"-")</f>
        <v>-</v>
      </c>
      <c r="Y17" s="802" t="str">
        <f>IF(ISNUMBER(IF(D_I="SI",DatosP!K17,DatosP!K17+DatosP!AE17)),IF(D_I="SI",DatosP!K17,DatosP!K17+DatosP!AE17)," - ")</f>
        <v xml:space="preserve"> - </v>
      </c>
      <c r="Z17" s="804" t="str">
        <f>IF(ISNUMBER(DatosP!Q17),DatosP!Q17," - ")</f>
        <v xml:space="preserve"> - </v>
      </c>
      <c r="AA17" s="807" t="str">
        <f>IF(ISNUMBER(IF(D_I="SI",DatosP!L17,DatosP!L17+DatosP!AF17)),IF(D_I="SI",DatosP!L17,DatosP!L17+DatosP!AF17)," - ")</f>
        <v xml:space="preserve"> - </v>
      </c>
      <c r="AB17" s="808" t="str">
        <f>IF(ISNUMBER(DatosP!R17),DatosP!R17," - ")</f>
        <v xml:space="preserve"> - </v>
      </c>
      <c r="AC17" s="801" t="str">
        <f>IF(ISNUMBER(DatosP!BV17),DatosP!BV17," - ")</f>
        <v xml:space="preserve"> - </v>
      </c>
      <c r="AD17" s="802" t="str">
        <f>IF(ISNUMBER(DatosP!CK17),DatosP!CK17," - ")</f>
        <v xml:space="preserve"> - </v>
      </c>
      <c r="AE17" s="809" t="str">
        <f>IF(ISNUMBER(DatosP!CL17),DatosP!CL17," - ")</f>
        <v xml:space="preserve"> - </v>
      </c>
      <c r="AF17" s="810" t="str">
        <f>IF(ISNUMBER(DatosP!CM17),DatosP!CM17," - ")</f>
        <v xml:space="preserve"> - </v>
      </c>
      <c r="AG17" s="809" t="str">
        <f>IF(ISNUMBER(DatosP!DV17),DatosP!DV17," - ")</f>
        <v xml:space="preserve"> - </v>
      </c>
      <c r="AH17" s="810"/>
      <c r="AI17" s="809"/>
      <c r="AJ17" s="810"/>
      <c r="AK17" s="802" t="str">
        <f>IF(ISNUMBER(DatosP!M17),DatosP!M17," - ")</f>
        <v xml:space="preserve"> - </v>
      </c>
      <c r="AL17" s="811" t="str">
        <f>IF(ISNUMBER(DatosP!N17),DatosP!N17," - ")</f>
        <v xml:space="preserve"> - </v>
      </c>
      <c r="AM17" s="811" t="str">
        <f>IF(ISNUMBER(DatosP!BW17),DatosP!BW17," - ")</f>
        <v xml:space="preserve"> - </v>
      </c>
      <c r="AN17" s="812" t="str">
        <f>IF(ISNUMBER(DatosP!BX17),DatosP!BX17," - ")</f>
        <v xml:space="preserve"> - </v>
      </c>
      <c r="AO17" s="813" t="str">
        <f>IF(ISNUMBER(IF(D_I="SI",DatosP!K17/DatosP!J17,(DatosP!K17+DatosP!AE17)/(DatosP!J17+DatosP!AD17))),IF(D_I="SI",DatosP!K17/DatosP!J17,(DatosP!K17+DatosP!AE17)/(DatosP!J17+DatosP!AD17))," - ")</f>
        <v xml:space="preserve"> - </v>
      </c>
      <c r="AP17" s="814" t="str">
        <f>IF(ISNUMBER(((IF(D_I="SI",DatosP!L17/DatosP!K17,(DatosP!L17+DatosP!AF17)/(DatosP!K17+DatosP!AE17)))*11)/factor_trimestre),((IF(D_I="SI",DatosP!L17/DatosP!K17,(DatosP!L17+DatosP!AF17)/(DatosP!K17+DatosP!AE17)))*11)/factor_trimestre," - ")</f>
        <v xml:space="preserve"> - </v>
      </c>
      <c r="AQ17" s="813" t="str">
        <f>IF(ISNUMBER(DatosP!M17/(IF(D_I="SI",DatosP!K17,DatosP!K17+DatosP!AE17))),DatosP!M17/(IF(D_I="SI",DatosP!K17,DatosP!K17+DatosP!AE17))," - ")</f>
        <v xml:space="preserve"> - </v>
      </c>
      <c r="AR17" s="815" t="str">
        <f>IF(ISNUMBER(DatosP!CI17/DatosP!CJ17),DatosP!CI17/DatosP!CJ17," - ")</f>
        <v xml:space="preserve"> - </v>
      </c>
      <c r="AS17" s="815" t="str">
        <f>IF(ISNUMBER((J17-Y17+K17)/(F17)),(J17-Y17+K17)/(F17)," - ")</f>
        <v xml:space="preserve"> - </v>
      </c>
      <c r="AT17" s="816" t="str">
        <f>IF(ISNUMBER((DatosP!P17-DatosP!Q17+P17)/(DatosP!R17-DatosP!P17+DatosP!Q17-P17)),(DatosP!P17-DatosP!Q17+P17)/(DatosP!R17-DatosP!P17+DatosP!Q17-P17)," - ")</f>
        <v xml:space="preserve"> - </v>
      </c>
      <c r="AU17" s="856" t="str">
        <f>IF(ISNUMBER(DatosP!CS17),DatosP!CS17," - ")</f>
        <v xml:space="preserve"> - </v>
      </c>
      <c r="AV17" s="856" t="str">
        <f>IF(ISNUMBER(DatosP!EI17),DatosP!EI17," - ")</f>
        <v xml:space="preserve"> - </v>
      </c>
      <c r="AW17" s="818" t="str">
        <f>IF(ISNUMBER(DatosP!EV17),DatosP!EV17," - ")</f>
        <v xml:space="preserve"> - </v>
      </c>
      <c r="AX17" s="818" t="str">
        <f>IF(ISNUMBER(DatosP!CW17),DatosP!CW17," - ")</f>
        <v xml:space="preserve"> - </v>
      </c>
      <c r="AY17" s="818"/>
      <c r="AZ17" s="818"/>
      <c r="BA17" s="650"/>
      <c r="BB17" s="818">
        <f>DatosP!CX17</f>
        <v>0</v>
      </c>
      <c r="BC17" s="819">
        <f>DatosP!DU17</f>
        <v>0</v>
      </c>
      <c r="BW17" s="1183">
        <f>DatosP!ER17/factor_trimestre</f>
        <v>0</v>
      </c>
    </row>
    <row r="18" spans="1:75" s="753" customFormat="1" ht="15">
      <c r="A18" s="653">
        <f>DatosP!AO18</f>
        <v>0</v>
      </c>
      <c r="B18" s="654" t="s">
        <v>437</v>
      </c>
      <c r="C18" s="655" t="str">
        <f>DatosP!A18</f>
        <v>Jdos. Violencia contra la mujer</v>
      </c>
      <c r="D18" s="549"/>
      <c r="E18" s="1342" t="str">
        <f>IF(ISNUMBER(DatosP!AQ18),DatosP!AQ18," - ")</f>
        <v xml:space="preserve"> - </v>
      </c>
      <c r="F18" s="802" t="str">
        <f>IF(ISNUMBER(AA18+Y18-I18-K18),AA18+Y18-I18-K18," - ")</f>
        <v xml:space="preserve"> - </v>
      </c>
      <c r="G18" s="803" t="str">
        <f>IF(ISNUMBER(IF(D_I="SI",DatosP!I18,DatosP!I18+DatosP!AC18)),IF(D_I="SI",DatosP!I18,DatosP!I18+DatosP!AC18)," - ")</f>
        <v xml:space="preserve"> - </v>
      </c>
      <c r="H18" s="804"/>
      <c r="I18" s="802" t="str">
        <f>IF(ISNUMBER(DatosP!DB18),DatosP!DB18," - ")</f>
        <v xml:space="preserve"> - </v>
      </c>
      <c r="J18" s="804" t="str">
        <f>IF(ISNUMBER(DatosP!DC18),DatosP!DC18," - ")</f>
        <v xml:space="preserve"> - </v>
      </c>
      <c r="K18" s="804">
        <f>IF(ISNUMBER(DatosP!DF18),DatosP!DF18,0)</f>
        <v>0</v>
      </c>
      <c r="L18" s="804">
        <f>IF(ISNUMBER(DatosP!DM18),DatosP!DM18,0)</f>
        <v>0</v>
      </c>
      <c r="M18" s="801" t="str">
        <f>IF(ISNUMBER(DatosP!EB18),DatosP!EB18," - ")</f>
        <v xml:space="preserve"> - </v>
      </c>
      <c r="N18" s="801" t="str">
        <f>IF(ISNUMBER(DatosP!EC18),DatosP!EC18," - ")</f>
        <v xml:space="preserve"> - </v>
      </c>
      <c r="O18" s="804">
        <f>IF(ISNUMBER(DatosP!P18),DatosP!P18,0)</f>
        <v>0</v>
      </c>
      <c r="P18" s="804" t="str">
        <f>IF(ISNUMBER(DatosP!DE18),DatosP!DE18," - ")</f>
        <v xml:space="preserve"> - </v>
      </c>
      <c r="Q18" s="1293" t="str">
        <f>IF(ISNUMBER(DatosP!EB18*factor_trimestre/DatosP!EE18),DatosP!EB18*factor_trimestre/DatosP!EE18," - ")</f>
        <v xml:space="preserve"> - </v>
      </c>
      <c r="R18" s="1293" t="str">
        <f>IF(ISNUMBER(DatosP!EC18*factor_trimestre/DatosP!EF18),DatosP!EC18*factor_trimestre/DatosP!EF18," - ")</f>
        <v xml:space="preserve"> - </v>
      </c>
      <c r="S18" s="804" t="str">
        <f>IF(ISNUMBER((DatosP!AS18+DatosP!AT18)/E18),(DatosP!AS18+DatosP!AT18)/E18," - ")</f>
        <v xml:space="preserve"> - </v>
      </c>
      <c r="T18" s="859" t="str">
        <f>IF(ISNUMBER(S18/(DatosP!BM18/factor_trimestre)),S18/(DatosP!BM18/factor_trimestre)," - ")</f>
        <v xml:space="preserve"> - </v>
      </c>
      <c r="U18" s="502" t="str">
        <f>IF(ISNUMBER(DatosP!EO18),DatosP!EO18," - ")</f>
        <v xml:space="preserve"> - </v>
      </c>
      <c r="V18" s="1161" t="e">
        <f>(U18/DatosP!ER18)*factor_trimestre</f>
        <v>#VALUE!</v>
      </c>
      <c r="W18" s="802">
        <f>IF(ISNUMBER(DatosP!BY18+DatosP!BZ18),DatosP!BY18+DatosP!BZ18," - ")</f>
        <v>0</v>
      </c>
      <c r="X18" s="859" t="str">
        <f>IF(ISNUMBER((W18*factor_trimestre)/DatosP!CN18),(W18*factor_trimestre)/DatosP!CN18,"-")</f>
        <v>-</v>
      </c>
      <c r="Y18" s="802" t="str">
        <f>IF(ISNUMBER(IF(D_I="SI",DatosP!K18,DatosP!K18+DatosP!AE18)),IF(D_I="SI",DatosP!K18,DatosP!K18+DatosP!AE18)," - ")</f>
        <v xml:space="preserve"> - </v>
      </c>
      <c r="Z18" s="804" t="str">
        <f>IF(ISNUMBER(DatosP!Q18),DatosP!Q18," - ")</f>
        <v xml:space="preserve"> - </v>
      </c>
      <c r="AA18" s="807" t="str">
        <f>IF(ISNUMBER(DatosP!L18),DatosP!L18,"-")</f>
        <v>-</v>
      </c>
      <c r="AB18" s="808" t="str">
        <f>IF(ISNUMBER(DatosP!R18),DatosP!R18," - ")</f>
        <v xml:space="preserve"> - </v>
      </c>
      <c r="AC18" s="801" t="str">
        <f>IF(ISNUMBER(DatosP!BV18),DatosP!BV18," - ")</f>
        <v xml:space="preserve"> - </v>
      </c>
      <c r="AD18" s="802" t="str">
        <f>IF(ISNUMBER(DatosP!CK18),DatosP!CK18," - ")</f>
        <v xml:space="preserve"> - </v>
      </c>
      <c r="AE18" s="809" t="str">
        <f>IF(ISNUMBER(DatosP!CL18),DatosP!CL18," - ")</f>
        <v xml:space="preserve"> - </v>
      </c>
      <c r="AF18" s="810" t="str">
        <f>IF(ISNUMBER(DatosP!CM18),DatosP!CM18," - ")</f>
        <v xml:space="preserve"> - </v>
      </c>
      <c r="AG18" s="809" t="str">
        <f>IF(ISNUMBER(DatosP!DV18),DatosP!DV18," - ")</f>
        <v xml:space="preserve"> - </v>
      </c>
      <c r="AH18" s="810"/>
      <c r="AI18" s="809"/>
      <c r="AJ18" s="810"/>
      <c r="AK18" s="802" t="str">
        <f>IF(ISNUMBER(DatosP!M18),DatosP!M18," - ")</f>
        <v xml:space="preserve"> - </v>
      </c>
      <c r="AL18" s="811" t="str">
        <f>IF(ISNUMBER(DatosP!N18),DatosP!N18," - ")</f>
        <v xml:space="preserve"> - </v>
      </c>
      <c r="AM18" s="811" t="str">
        <f>IF(ISNUMBER(DatosP!BW18),DatosP!BW18," - ")</f>
        <v xml:space="preserve"> - </v>
      </c>
      <c r="AN18" s="812" t="str">
        <f>IF(ISNUMBER(DatosP!BX18),DatosP!BX18," - ")</f>
        <v xml:space="preserve"> - </v>
      </c>
      <c r="AO18" s="813" t="str">
        <f>IF(ISNUMBER(IF(D_I="SI",DatosP!K18/DatosP!J18,(DatosP!K18+DatosP!AE18)/(DatosP!J18+DatosP!AD18))),IF(D_I="SI",DatosP!K18/DatosP!J18,(DatosP!K18+DatosP!AE18)/(DatosP!J18+DatosP!AD18))," - ")</f>
        <v xml:space="preserve"> - </v>
      </c>
      <c r="AP18" s="814" t="str">
        <f>IF(ISNUMBER(((IF(D_I="SI",DatosP!L18/DatosP!K18,(DatosP!L18+DatosP!AF18)/(DatosP!K18+DatosP!AE18)))*11)/factor_trimestre),((IF(D_I="SI",DatosP!L18/DatosP!K18,(DatosP!L18+DatosP!AF18)/(DatosP!K18+DatosP!AE18)))*11)/factor_trimestre," - ")</f>
        <v xml:space="preserve"> - </v>
      </c>
      <c r="AQ18" s="813" t="str">
        <f>IF(ISNUMBER(DatosP!M18/(IF(D_I="SI",DatosP!K18,DatosP!K18+DatosP!AE18))),DatosP!M18/(IF(D_I="SI",DatosP!K18,DatosP!K18+DatosP!AE18))," - ")</f>
        <v xml:space="preserve"> - </v>
      </c>
      <c r="AR18" s="815" t="str">
        <f>IF(ISNUMBER(DatosP!CI18/DatosP!CJ18),DatosP!CI18/DatosP!CJ18," - ")</f>
        <v xml:space="preserve"> - </v>
      </c>
      <c r="AS18" s="815" t="str">
        <f>IF(ISNUMBER((I18-Y18+K18)/(F18)),(I18-Y18+K18)/(F18)," - ")</f>
        <v xml:space="preserve"> - </v>
      </c>
      <c r="AT18" s="816" t="str">
        <f>IF(ISNUMBER((DatosP!P18-DatosP!Q18+P18)/(DatosP!R18-DatosP!P18+DatosP!Q18-P18)),(DatosP!P18-DatosP!Q18+P18)/(DatosP!R18-DatosP!P18+DatosP!Q18-P18)," - ")</f>
        <v xml:space="preserve"> - </v>
      </c>
      <c r="AU18" s="856" t="str">
        <f>IF(ISNUMBER(DatosP!CS18),DatosP!CS18," - ")</f>
        <v xml:space="preserve"> - </v>
      </c>
      <c r="AV18" s="856" t="str">
        <f>IF(ISNUMBER(DatosP!EI18),DatosP!EI18," - ")</f>
        <v xml:space="preserve"> - </v>
      </c>
      <c r="AW18" s="818" t="str">
        <f>IF(ISNUMBER(DatosP!EV18),DatosP!EV18," - ")</f>
        <v xml:space="preserve"> - </v>
      </c>
      <c r="AX18" s="818" t="str">
        <f>IF(ISNUMBER(DatosP!CW18),DatosP!CW18," - ")</f>
        <v xml:space="preserve"> - </v>
      </c>
      <c r="AY18" s="818"/>
      <c r="AZ18" s="818"/>
      <c r="BA18" s="634"/>
      <c r="BB18" s="818">
        <f>DatosP!CX18</f>
        <v>0</v>
      </c>
      <c r="BC18" s="819">
        <f>DatosP!DU18</f>
        <v>0</v>
      </c>
      <c r="BW18" s="1183">
        <f>DatosP!ER18/factor_trimestre</f>
        <v>0</v>
      </c>
    </row>
    <row r="19" spans="1:75" s="753" customFormat="1" ht="15.75" thickBot="1">
      <c r="A19" s="653">
        <f>DatosP!AO19</f>
        <v>0</v>
      </c>
      <c r="B19" s="654" t="s">
        <v>437</v>
      </c>
      <c r="C19" s="655" t="str">
        <f>DatosP!A19</f>
        <v xml:space="preserve">Jdos. de Menores                                </v>
      </c>
      <c r="D19" s="549"/>
      <c r="E19" s="1342" t="str">
        <f>IF(ISNUMBER(DatosP!AQ19),DatosP!AQ19," - ")</f>
        <v xml:space="preserve"> - </v>
      </c>
      <c r="F19" s="802">
        <f>IF(ISNUMBER(DatosP!L19+DatosP!K19-DatosP!J19),DatosP!L19+DatosP!K19-DatosP!J19," - ")</f>
        <v>0</v>
      </c>
      <c r="G19" s="803" t="str">
        <f>IF(ISNUMBER(DatosP!I19),DatosP!I19," - ")</f>
        <v xml:space="preserve"> - </v>
      </c>
      <c r="H19" s="804"/>
      <c r="I19" s="802" t="str">
        <f>IF(ISNUMBER(DatosP!DB19),DatosP!DB19," - ")</f>
        <v xml:space="preserve"> - </v>
      </c>
      <c r="J19" s="804" t="str">
        <f>IF(ISNUMBER(DatosP!DC19),DatosP!DC19," - ")</f>
        <v xml:space="preserve"> - </v>
      </c>
      <c r="K19" s="804">
        <f>IF(ISNUMBER(DatosP!DF19),DatosP!DF19,0)</f>
        <v>0</v>
      </c>
      <c r="L19" s="804">
        <f>IF(ISNUMBER(DatosP!DM19),DatosP!DM19,0)</f>
        <v>0</v>
      </c>
      <c r="M19" s="801"/>
      <c r="N19" s="801"/>
      <c r="O19" s="804">
        <f>IF(ISNUMBER(DatosP!P19),DatosP!P19,0)</f>
        <v>0</v>
      </c>
      <c r="P19" s="804" t="str">
        <f>IF(ISNUMBER(DatosP!DE19),DatosP!DE19," - ")</f>
        <v xml:space="preserve"> - </v>
      </c>
      <c r="Q19" s="1293"/>
      <c r="R19" s="1293"/>
      <c r="S19" s="804">
        <f>IF(ISNUMBER(DatosP!AS19/1),DatosP!AS19/1," - ")</f>
        <v>0</v>
      </c>
      <c r="T19" s="859" t="str">
        <f>IF(ISNUMBER(S19/(DatosP!BM19/factor_trimestre)),S19/(DatosP!BM19/factor_trimestre)," - ")</f>
        <v xml:space="preserve"> - </v>
      </c>
      <c r="U19" s="502" t="str">
        <f>IF(ISNUMBER(DatosP!EO19),DatosP!EO19," - ")</f>
        <v xml:space="preserve"> - </v>
      </c>
      <c r="V19" s="1161" t="e">
        <f>(U19/DatosP!ER19)*factor_trimestre</f>
        <v>#VALUE!</v>
      </c>
      <c r="W19" s="802" t="str">
        <f>IF(ISNUMBER(DatosP!BY19),DatosP!BY19," - ")</f>
        <v xml:space="preserve"> - </v>
      </c>
      <c r="X19" s="859" t="str">
        <f>IF(ISNUMBER((W19*factor_trimestre)/DatosP!CN19),(W19*factor_trimestre)/DatosP!CN19,"-")</f>
        <v>-</v>
      </c>
      <c r="Y19" s="802" t="str">
        <f>IF(ISNUMBER(DatosP!K19),DatosP!K19," - ")</f>
        <v xml:space="preserve"> - </v>
      </c>
      <c r="Z19" s="804" t="str">
        <f>IF(ISNUMBER(DatosP!Q19),DatosP!Q19," - ")</f>
        <v xml:space="preserve"> - </v>
      </c>
      <c r="AA19" s="807" t="str">
        <f>IF(ISNUMBER(DatosP!L19),DatosP!L19,"-")</f>
        <v>-</v>
      </c>
      <c r="AB19" s="808" t="str">
        <f>IF(ISNUMBER(DatosP!R19),DatosP!R19," - ")</f>
        <v xml:space="preserve"> - </v>
      </c>
      <c r="AC19" s="801" t="str">
        <f>IF(ISNUMBER(DatosP!BV19),DatosP!BV19," - ")</f>
        <v xml:space="preserve"> - </v>
      </c>
      <c r="AD19" s="802" t="str">
        <f>IF(ISNUMBER(DatosP!CK19),DatosP!CK19," - ")</f>
        <v xml:space="preserve"> - </v>
      </c>
      <c r="AE19" s="809" t="str">
        <f>IF(ISNUMBER(DatosP!CL19),DatosP!CL19," - ")</f>
        <v xml:space="preserve"> - </v>
      </c>
      <c r="AF19" s="810" t="str">
        <f>IF(ISNUMBER(DatosP!CM19),DatosP!CM19," - ")</f>
        <v xml:space="preserve"> - </v>
      </c>
      <c r="AG19" s="809" t="str">
        <f>IF(ISNUMBER(DatosP!DV19),DatosP!DV19," - ")</f>
        <v xml:space="preserve"> - </v>
      </c>
      <c r="AH19" s="810" t="str">
        <f>IF(ISNUMBER(DatosP!CK19),DatosP!CK19," - ")</f>
        <v xml:space="preserve"> - </v>
      </c>
      <c r="AI19" s="809" t="str">
        <f>IF(ISNUMBER(DatosP!CL19),DatosP!CL19," - ")</f>
        <v xml:space="preserve"> - </v>
      </c>
      <c r="AJ19" s="810" t="str">
        <f>IF(ISNUMBER(DatosP!CM19),DatosP!CM19," - ")</f>
        <v xml:space="preserve"> - </v>
      </c>
      <c r="AK19" s="802" t="str">
        <f>IF(ISNUMBER(DatosP!M19),DatosP!M19," - ")</f>
        <v xml:space="preserve"> - </v>
      </c>
      <c r="AL19" s="811"/>
      <c r="AM19" s="811"/>
      <c r="AN19" s="812"/>
      <c r="AO19" s="813" t="str">
        <f>IF(ISNUMBER(DatosP!K19/DatosP!J19),DatosP!K19/DatosP!J19," - ")</f>
        <v xml:space="preserve"> - </v>
      </c>
      <c r="AP19" s="814" t="str">
        <f>IF(ISNUMBER(((DatosP!L19/DatosP!K19)*11)/factor_trimestre),((DatosP!L19/DatosP!K19)*11)/factor_trimestre," - ")</f>
        <v xml:space="preserve"> - </v>
      </c>
      <c r="AQ19" s="813"/>
      <c r="AR19" s="815" t="str">
        <f>IF(ISNUMBER(DatosP!CI19/DatosP!CJ19),DatosP!CI19/DatosP!CJ19," - ")</f>
        <v xml:space="preserve"> - </v>
      </c>
      <c r="AS19" s="815" t="str">
        <f>IF(ISNUMBER((I19-Y19+K19)/(F19)),(I19-Y19+K19)/(F19)," - ")</f>
        <v xml:space="preserve"> - </v>
      </c>
      <c r="AT19" s="816" t="str">
        <f>IF(ISNUMBER((DatosP!P19-DatosP!Q19+P19)/(DatosP!R19-DatosP!P19+DatosP!Q19-P19)),(DatosP!P19-DatosP!Q19+P19)/(DatosP!R19-DatosP!P19+DatosP!Q19-P19)," - ")</f>
        <v xml:space="preserve"> - </v>
      </c>
      <c r="AU19" s="817"/>
      <c r="AV19" s="856" t="str">
        <f>IF(ISNUMBER(DatosP!EI19),DatosP!EI19," - ")</f>
        <v xml:space="preserve"> - </v>
      </c>
      <c r="AW19" s="818" t="str">
        <f>IF(ISNUMBER(DatosP!EV19),DatosP!EV19," - ")</f>
        <v xml:space="preserve"> - </v>
      </c>
      <c r="AX19" s="818" t="str">
        <f>IF(ISNUMBER(DatosP!CW19),DatosP!CW19," - ")</f>
        <v xml:space="preserve"> - </v>
      </c>
      <c r="AY19" s="818"/>
      <c r="AZ19" s="818"/>
      <c r="BA19" s="634">
        <f>DatosP!EY19</f>
        <v>0</v>
      </c>
      <c r="BB19" s="818">
        <f>DatosP!CX19</f>
        <v>0</v>
      </c>
      <c r="BC19" s="819">
        <f>DatosP!DU19</f>
        <v>0</v>
      </c>
      <c r="BW19" s="1183">
        <f>DatosP!ER19/factor_trimestre</f>
        <v>0</v>
      </c>
    </row>
    <row r="20" spans="1:75" ht="15.75" thickTop="1" thickBot="1">
      <c r="A20" s="832"/>
      <c r="B20" s="832"/>
      <c r="C20" s="1083" t="str">
        <f>DatosP!A20</f>
        <v>TOTAL</v>
      </c>
      <c r="D20" s="1084"/>
      <c r="E20" s="1095">
        <f>SUBTOTAL(9,E16:E19)</f>
        <v>0</v>
      </c>
      <c r="F20" s="1085">
        <f>SUBTOTAL(9,F16:F19)</f>
        <v>0</v>
      </c>
      <c r="G20" s="1085">
        <f>SUBTOTAL(9,G16:G19)</f>
        <v>0</v>
      </c>
      <c r="H20" s="1086">
        <f>SUBTOTAL(9,H16:H19)</f>
        <v>0</v>
      </c>
      <c r="I20" s="1085">
        <f>SUBTOTAL(9,I16:I19)</f>
        <v>0</v>
      </c>
      <c r="J20" s="1087">
        <f>SUBTOTAL(9,J15:J19)</f>
        <v>0</v>
      </c>
      <c r="K20" s="1086">
        <f t="shared" ref="K20:T20" si="3">SUBTOTAL(9,K16:K19)</f>
        <v>0</v>
      </c>
      <c r="L20" s="1086">
        <f t="shared" si="3"/>
        <v>0</v>
      </c>
      <c r="M20" s="1088">
        <f t="shared" si="3"/>
        <v>0</v>
      </c>
      <c r="N20" s="1088">
        <f t="shared" si="3"/>
        <v>0</v>
      </c>
      <c r="O20" s="1086">
        <f t="shared" si="3"/>
        <v>0</v>
      </c>
      <c r="P20" s="1086">
        <f t="shared" si="3"/>
        <v>0</v>
      </c>
      <c r="Q20" s="1294">
        <f t="shared" si="3"/>
        <v>0</v>
      </c>
      <c r="R20" s="1294">
        <f t="shared" si="3"/>
        <v>0</v>
      </c>
      <c r="S20" s="1086">
        <f t="shared" si="3"/>
        <v>0</v>
      </c>
      <c r="T20" s="1294">
        <f t="shared" si="3"/>
        <v>0</v>
      </c>
      <c r="U20" s="1011">
        <f>SUBTOTAL(9,U15:U19)</f>
        <v>0</v>
      </c>
      <c r="V20" s="1164" t="e">
        <f>SUBTOTAL(9,V15:V19)</f>
        <v>#VALUE!</v>
      </c>
      <c r="W20" s="1086">
        <f>SUBTOTAL(9,W16:W19)</f>
        <v>0</v>
      </c>
      <c r="X20" s="1090" t="str">
        <f>IF(ISNUMBER((W20*factor_trimestre)/DatosP!CN20),(W20*factor_trimestre)/DatosP!CN20,"-")</f>
        <v>-</v>
      </c>
      <c r="Y20" s="1086">
        <f t="shared" ref="Y20:AN20" si="4">SUBTOTAL(9,Y16:Y19)</f>
        <v>0</v>
      </c>
      <c r="Z20" s="1086">
        <f t="shared" si="4"/>
        <v>0</v>
      </c>
      <c r="AA20" s="1086">
        <f t="shared" si="4"/>
        <v>0</v>
      </c>
      <c r="AB20" s="1086">
        <f t="shared" si="4"/>
        <v>0</v>
      </c>
      <c r="AC20" s="1086">
        <f t="shared" si="4"/>
        <v>0</v>
      </c>
      <c r="AD20" s="1086">
        <f t="shared" si="4"/>
        <v>0</v>
      </c>
      <c r="AE20" s="1086">
        <f t="shared" si="4"/>
        <v>0</v>
      </c>
      <c r="AF20" s="1086">
        <f t="shared" si="4"/>
        <v>0</v>
      </c>
      <c r="AG20" s="1086">
        <f t="shared" si="4"/>
        <v>0</v>
      </c>
      <c r="AH20" s="1086">
        <f t="shared" si="4"/>
        <v>0</v>
      </c>
      <c r="AI20" s="1086">
        <f t="shared" si="4"/>
        <v>0</v>
      </c>
      <c r="AJ20" s="1086">
        <f t="shared" si="4"/>
        <v>0</v>
      </c>
      <c r="AK20" s="1086">
        <f t="shared" si="4"/>
        <v>0</v>
      </c>
      <c r="AL20" s="1086">
        <f t="shared" si="4"/>
        <v>0</v>
      </c>
      <c r="AM20" s="1086">
        <f t="shared" si="4"/>
        <v>0</v>
      </c>
      <c r="AN20" s="1086">
        <f t="shared" si="4"/>
        <v>0</v>
      </c>
      <c r="AO20" s="1086" t="str">
        <f>IF(ISNUMBER(DatosP!K20/DatosP!J20),DatosP!K20/DatosP!J20," - ")</f>
        <v xml:space="preserve"> - </v>
      </c>
      <c r="AP20" s="1091" t="str">
        <f>IF(ISNUMBER(((DatosP!L20/DatosP!K20)*11)/factor_trimestre),((DatosP!L20/DatosP!K20)*11)/factor_trimestre," - ")</f>
        <v xml:space="preserve"> - </v>
      </c>
      <c r="AQ20" s="1086">
        <f>SUBTOTAL(9,AQ16:AQ19)</f>
        <v>0</v>
      </c>
      <c r="AR20" s="1086">
        <f>SUBTOTAL(9,AR16:AR19)</f>
        <v>0</v>
      </c>
      <c r="AS20" s="1092" t="str">
        <f>IF(ISNUMBER((I20-Y20+K20)/(F20)),(I20-Y20+K20)/(F20)," - ")</f>
        <v xml:space="preserve"> - </v>
      </c>
      <c r="AT20" s="1093" t="str">
        <f>IF(ISNUMBER((DatosP!P20-DatosP!Q20)/(DatosP!R20-DatosP!P20+DatosP!Q20)),(DatosP!P20-DatosP!Q20)/(DatosP!R20-DatosP!P20+DatosP!Q20)," - ")</f>
        <v xml:space="preserve"> - </v>
      </c>
      <c r="AU20" s="1086">
        <f t="shared" ref="AU20:AZ20" si="5">SUBTOTAL(9,AU16:AU19)</f>
        <v>0</v>
      </c>
      <c r="AV20" s="1086">
        <f t="shared" si="5"/>
        <v>0</v>
      </c>
      <c r="AW20" s="1086">
        <f t="shared" si="5"/>
        <v>0</v>
      </c>
      <c r="AX20" s="1086">
        <f t="shared" si="5"/>
        <v>0</v>
      </c>
      <c r="AY20" s="1086">
        <f t="shared" si="5"/>
        <v>0</v>
      </c>
      <c r="AZ20" s="1086">
        <f t="shared" si="5"/>
        <v>0</v>
      </c>
      <c r="BA20" s="1046"/>
      <c r="BB20" s="1086"/>
      <c r="BC20" s="1094"/>
      <c r="BW20" s="1053"/>
    </row>
    <row r="21" spans="1:75" ht="18.75" customHeight="1" thickTop="1" thickBot="1">
      <c r="A21" s="862"/>
      <c r="B21" s="862"/>
      <c r="C21" s="1096" t="str">
        <f>DatosP!A21</f>
        <v>TOTAL JURISDICCIONES</v>
      </c>
      <c r="D21" s="1096"/>
      <c r="E21" s="1343">
        <f t="shared" ref="E21:P21" si="6">SUBTOTAL(9,E9:E20)</f>
        <v>0</v>
      </c>
      <c r="F21" s="1098">
        <f t="shared" si="6"/>
        <v>0</v>
      </c>
      <c r="G21" s="1098">
        <f t="shared" si="6"/>
        <v>0</v>
      </c>
      <c r="H21" s="1099">
        <f t="shared" si="6"/>
        <v>0</v>
      </c>
      <c r="I21" s="1098">
        <f t="shared" si="6"/>
        <v>0</v>
      </c>
      <c r="J21" s="1099">
        <f t="shared" si="6"/>
        <v>0</v>
      </c>
      <c r="K21" s="1100">
        <f t="shared" si="6"/>
        <v>0</v>
      </c>
      <c r="L21" s="1100">
        <f t="shared" si="6"/>
        <v>0</v>
      </c>
      <c r="M21" s="1100">
        <f t="shared" si="6"/>
        <v>0</v>
      </c>
      <c r="N21" s="1100">
        <f t="shared" si="6"/>
        <v>0</v>
      </c>
      <c r="O21" s="1099">
        <f t="shared" si="6"/>
        <v>0</v>
      </c>
      <c r="P21" s="1099">
        <f t="shared" si="6"/>
        <v>0</v>
      </c>
      <c r="Q21" s="1298">
        <f>IF(ISNUMBER(AVERAGE(Q8:Q20)),AVERAGE(Q8:Q20),"-")</f>
        <v>0</v>
      </c>
      <c r="R21" s="1298">
        <f>IF(ISNUMBER(AVERAGE(R8:R20)),AVERAGE(R8:R20),"-")</f>
        <v>0</v>
      </c>
      <c r="S21" s="1099">
        <f>SUBTOTAL(9,S9:S20)</f>
        <v>0</v>
      </c>
      <c r="T21" s="1298">
        <f>IF(ISNUMBER(AVERAGE(T8:T20)),AVERAGE(T8:T20),"-")</f>
        <v>0</v>
      </c>
      <c r="U21" s="1027">
        <f>SUBTOTAL(9,U9:U20)</f>
        <v>0</v>
      </c>
      <c r="V21" s="1165" t="e">
        <f>SUBTOTAL(9,V9:V20)</f>
        <v>#VALUE!</v>
      </c>
      <c r="W21" s="1102">
        <f>SUBTOTAL(9,W9:W20)</f>
        <v>0</v>
      </c>
      <c r="X21" s="1103" t="str">
        <f>IF(ISNUMBER(AVERAGE(X8:X20)),AVERAGE(X8:X20),"-")</f>
        <v>-</v>
      </c>
      <c r="Y21" s="1104">
        <f t="shared" ref="Y21:AN21" si="7">SUBTOTAL(9,Y9:Y20)</f>
        <v>0</v>
      </c>
      <c r="Z21" s="1104">
        <f t="shared" si="7"/>
        <v>0</v>
      </c>
      <c r="AA21" s="1105">
        <f t="shared" si="7"/>
        <v>0</v>
      </c>
      <c r="AB21" s="1105">
        <f t="shared" si="7"/>
        <v>0</v>
      </c>
      <c r="AC21" s="1106">
        <f t="shared" si="7"/>
        <v>0</v>
      </c>
      <c r="AD21" s="1102">
        <f t="shared" si="7"/>
        <v>0</v>
      </c>
      <c r="AE21" s="1107">
        <f t="shared" si="7"/>
        <v>0</v>
      </c>
      <c r="AF21" s="1106">
        <f t="shared" si="7"/>
        <v>0</v>
      </c>
      <c r="AG21" s="1106">
        <f t="shared" si="7"/>
        <v>0</v>
      </c>
      <c r="AH21" s="1106">
        <f t="shared" si="7"/>
        <v>0</v>
      </c>
      <c r="AI21" s="1106">
        <f t="shared" si="7"/>
        <v>0</v>
      </c>
      <c r="AJ21" s="1106">
        <f t="shared" si="7"/>
        <v>0</v>
      </c>
      <c r="AK21" s="1098">
        <f t="shared" si="7"/>
        <v>0</v>
      </c>
      <c r="AL21" s="1098">
        <f t="shared" si="7"/>
        <v>0</v>
      </c>
      <c r="AM21" s="1098">
        <f t="shared" si="7"/>
        <v>0</v>
      </c>
      <c r="AN21" s="1106">
        <f t="shared" si="7"/>
        <v>0</v>
      </c>
      <c r="AO21" s="1106" t="str">
        <f>IF(ISNUMBER(DatosP!K21/DatosP!J21),DatosP!K21/DatosP!J21," - ")</f>
        <v xml:space="preserve"> - </v>
      </c>
      <c r="AP21" s="1106" t="str">
        <f>IF(ISNUMBER(((DatosP!L21/DatosP!K21)*11)/factor_trimestre),((DatosP!L21/DatosP!K21)*11)/factor_trimestre," - ")</f>
        <v xml:space="preserve"> - </v>
      </c>
      <c r="AQ21" s="1108" t="str">
        <f>IF(ISNUMBER(DatosP!M21/(IF(D_I="SI",DatosP!K21,DatosP!K21+DatosP!AE21))),DatosP!M21/(IF(D_I="SI",DatosP!K21,DatosP!K21+DatosP!AE21))," - ")</f>
        <v xml:space="preserve"> - </v>
      </c>
      <c r="AR21" s="1109" t="str">
        <f>IF(ISNUMBER(DatosP!CI21/DatosP!CJ21),DatosP!CI21/DatosP!CJ21," - ")</f>
        <v xml:space="preserve"> - </v>
      </c>
      <c r="AS21" s="1110" t="e">
        <f>IF(OR(ISNUMBER(FIND("01",Criterios!A8,1)),ISNUMBER(FIND("02",Criterios!A8,1)),ISNUMBER(FIND("03",Criterios!A8,1)),ISNUMBER(FIND("04",Criterios!A8,1))),(J21-Y21+K21)/(F21-K21),(I21-Y21+K21)/(F21-K21))</f>
        <v>#DIV/0!</v>
      </c>
      <c r="AT21" s="1111" t="str">
        <f>IF(ISNUMBER((DatosP!P21-DatosP!Q21+P21)/(DatosP!R21-DatosP!P21+DatosP!Q21-P21)),(DatosP!P21-DatosP!Q21+P21)/(DatosP!R21-DatosP!P21+DatosP!Q21-P21)," - ")</f>
        <v xml:space="preserve"> - </v>
      </c>
      <c r="AU21" s="1112">
        <f t="shared" ref="AU21:BA21" si="8">SUBTOTAL(9,AU9:AU20)</f>
        <v>0</v>
      </c>
      <c r="AV21" s="1112">
        <f t="shared" si="8"/>
        <v>0</v>
      </c>
      <c r="AW21" s="1113">
        <f t="shared" si="8"/>
        <v>0</v>
      </c>
      <c r="AX21" s="1113">
        <f t="shared" si="8"/>
        <v>0</v>
      </c>
      <c r="AY21" s="1113">
        <f t="shared" si="8"/>
        <v>0</v>
      </c>
      <c r="AZ21" s="1113">
        <f t="shared" si="8"/>
        <v>0</v>
      </c>
      <c r="BA21" s="1113">
        <f t="shared" si="8"/>
        <v>0</v>
      </c>
      <c r="BB21" s="1114"/>
      <c r="BC21" s="1115"/>
      <c r="BW21" s="1066"/>
    </row>
    <row r="22" spans="1:75" ht="18.75" customHeight="1" thickTop="1" thickBot="1">
      <c r="A22" s="866"/>
      <c r="B22" s="866"/>
      <c r="C22" s="1116" t="s">
        <v>291</v>
      </c>
      <c r="D22" s="1117"/>
      <c r="E22" s="1344" t="str">
        <f ca="1">IF(ISNUMBER(SUMIF($B8:$B20,$B22,E8:E20)/INDIRECT("DatosP!AP"&amp;ROW()-1)),SUMIF($B8:$B20,$B22,E8:E20)/INDIRECT("DatosP!AP"&amp;ROW()-1),"-")</f>
        <v>-</v>
      </c>
      <c r="F22" s="1108" t="str">
        <f ca="1">IF(ISNUMBER(SUMIF($B8:$B20,$B22,F8:F20)/INDIRECT("DatosP!AP"&amp;ROW()-1)),SUMIF($B8:$B20,$B22,F8:F20)/INDIRECT("DatosP!AP"&amp;ROW()-1),"-")</f>
        <v>-</v>
      </c>
      <c r="G22" s="1118">
        <f>IF(ISNUMBER(AVERAGE(G8:G20)),AVERAGE(G8:G20),"-")</f>
        <v>0</v>
      </c>
      <c r="H22" s="1119" t="str">
        <f t="shared" ref="H22:T22" ca="1" si="9">IF(ISNUMBER(SUMIF($B8:$B20,$B22,H8:H20)/INDIRECT("DatosP!AP"&amp;ROW()-1)),SUMIF($B8:$B20,$B22,H8:H20)/INDIRECT("DatosP!AP"&amp;ROW()-1),"-")</f>
        <v>-</v>
      </c>
      <c r="I22" s="1108" t="str">
        <f t="shared" ca="1" si="9"/>
        <v>-</v>
      </c>
      <c r="J22" s="1119" t="str">
        <f t="shared" ca="1" si="9"/>
        <v>-</v>
      </c>
      <c r="K22" s="1119" t="str">
        <f t="shared" ca="1" si="9"/>
        <v>-</v>
      </c>
      <c r="L22" s="1119" t="str">
        <f t="shared" ca="1" si="9"/>
        <v>-</v>
      </c>
      <c r="M22" s="1119" t="str">
        <f t="shared" ca="1" si="9"/>
        <v>-</v>
      </c>
      <c r="N22" s="1119" t="str">
        <f t="shared" ca="1" si="9"/>
        <v>-</v>
      </c>
      <c r="O22" s="1119" t="str">
        <f t="shared" ca="1" si="9"/>
        <v>-</v>
      </c>
      <c r="P22" s="1119" t="str">
        <f t="shared" ca="1" si="9"/>
        <v>-</v>
      </c>
      <c r="Q22" s="1299" t="str">
        <f t="shared" ca="1" si="9"/>
        <v>-</v>
      </c>
      <c r="R22" s="1299" t="str">
        <f t="shared" ca="1" si="9"/>
        <v>-</v>
      </c>
      <c r="S22" s="1119" t="str">
        <f t="shared" ca="1" si="9"/>
        <v>-</v>
      </c>
      <c r="T22" s="1302" t="str">
        <f t="shared" ca="1" si="9"/>
        <v>-</v>
      </c>
      <c r="U22" s="962">
        <f ca="1">IF(ISNUMBER(SUMIF($B8:$B20,$B22,U8:U20)/INDIRECT("Datos!AP"&amp;ROW()-1)),SUMIF($B8:$B20,$B22,U8:U20)/INDIRECT("Datos!AP"&amp;ROW()-1),"-")</f>
        <v>0</v>
      </c>
      <c r="V22" s="1166">
        <f ca="1">IF(ISNUMBER(SUMIF($B8:$B20,$B22,V8:V20)/INDIRECT("Datos!AP"&amp;ROW()-1)),SUMIF($B8:$B20,$B22,V8:V20)/INDIRECT("Datos!AP"&amp;ROW()-1),"-")</f>
        <v>0</v>
      </c>
      <c r="W22" s="1122" t="str">
        <f t="shared" ref="W22:AQ22" ca="1" si="10">IF(ISNUMBER(SUMIF($B8:$B20,$B22,W8:W20)/INDIRECT("DatosP!AP"&amp;ROW()-1)),SUMIF($B8:$B20,$B22,W8:W20)/INDIRECT("DatosP!AP"&amp;ROW()-1),"-")</f>
        <v>-</v>
      </c>
      <c r="X22" s="1123" t="str">
        <f t="shared" ca="1" si="10"/>
        <v>-</v>
      </c>
      <c r="Y22" s="1124" t="str">
        <f t="shared" ca="1" si="10"/>
        <v>-</v>
      </c>
      <c r="Z22" s="1124" t="str">
        <f t="shared" ca="1" si="10"/>
        <v>-</v>
      </c>
      <c r="AA22" s="1124" t="str">
        <f t="shared" ca="1" si="10"/>
        <v>-</v>
      </c>
      <c r="AB22" s="1124" t="str">
        <f t="shared" ca="1" si="10"/>
        <v>-</v>
      </c>
      <c r="AC22" s="1119" t="str">
        <f t="shared" ca="1" si="10"/>
        <v>-</v>
      </c>
      <c r="AD22" s="1122" t="str">
        <f t="shared" ca="1" si="10"/>
        <v>-</v>
      </c>
      <c r="AE22" s="1125" t="str">
        <f t="shared" ca="1" si="10"/>
        <v>-</v>
      </c>
      <c r="AF22" s="1119" t="str">
        <f t="shared" ca="1" si="10"/>
        <v>-</v>
      </c>
      <c r="AG22" s="1126" t="str">
        <f t="shared" ca="1" si="10"/>
        <v>-</v>
      </c>
      <c r="AH22" s="1126" t="str">
        <f t="shared" ca="1" si="10"/>
        <v>-</v>
      </c>
      <c r="AI22" s="1126" t="str">
        <f t="shared" ca="1" si="10"/>
        <v>-</v>
      </c>
      <c r="AJ22" s="1126" t="str">
        <f t="shared" ca="1" si="10"/>
        <v>-</v>
      </c>
      <c r="AK22" s="1108" t="str">
        <f t="shared" ca="1" si="10"/>
        <v>-</v>
      </c>
      <c r="AL22" s="1108" t="str">
        <f t="shared" ca="1" si="10"/>
        <v>-</v>
      </c>
      <c r="AM22" s="1108" t="str">
        <f t="shared" ca="1" si="10"/>
        <v>-</v>
      </c>
      <c r="AN22" s="1119" t="str">
        <f t="shared" ca="1" si="10"/>
        <v>-</v>
      </c>
      <c r="AO22" s="1119" t="str">
        <f t="shared" ca="1" si="10"/>
        <v>-</v>
      </c>
      <c r="AP22" s="1119" t="str">
        <f t="shared" ca="1" si="10"/>
        <v>-</v>
      </c>
      <c r="AQ22" s="1108" t="str">
        <f t="shared" ca="1" si="10"/>
        <v>-</v>
      </c>
      <c r="AR22" s="1127" t="e">
        <f ca="1">INDIRECT("DatosP!CI"&amp;ROW()-1)/INDIRECT("DatosP!CJ"&amp;ROW()-1)</f>
        <v>#DIV/0!</v>
      </c>
      <c r="AS22" s="1110" t="e">
        <f ca="1">IF(OR(ISNUMBER(FIND("01",Criterios!A8,1)),ISNUMBER(FIND("02",Criterios!A8,1)),ISNUMBER(FIND("03",Criterios!A8,1)),ISNUMBER(FIND("04",Criterios!A8,1))),(J22-Y22+K22)/(F22-K22),(I22-Y22+K22)/(F22-K22))</f>
        <v>#VALUE!</v>
      </c>
      <c r="AT22" s="1128" t="str">
        <f ca="1">INDIRECT("AT"&amp;ROW()-1)</f>
        <v xml:space="preserve"> - </v>
      </c>
      <c r="AU22" s="1129" t="str">
        <f t="shared" ref="AU22:BA22" ca="1" si="11">IF(ISNUMBER(SUMIF($B8:$B20,$B22,AU8:AU20)/INDIRECT("DatosP!AP"&amp;ROW()-1)),SUMIF($B8:$B20,$B22,AU8:AU20)/INDIRECT("DatosP!AP"&amp;ROW()-1),"-")</f>
        <v>-</v>
      </c>
      <c r="AV22" s="1129" t="str">
        <f t="shared" ca="1" si="11"/>
        <v>-</v>
      </c>
      <c r="AW22" s="1130" t="str">
        <f t="shared" ca="1" si="11"/>
        <v>-</v>
      </c>
      <c r="AX22" s="1130" t="str">
        <f t="shared" ca="1" si="11"/>
        <v>-</v>
      </c>
      <c r="AY22" s="1130" t="str">
        <f t="shared" ca="1" si="11"/>
        <v>-</v>
      </c>
      <c r="AZ22" s="1130" t="str">
        <f t="shared" ca="1" si="11"/>
        <v>-</v>
      </c>
      <c r="BA22" s="1130" t="str">
        <f t="shared" ca="1" si="11"/>
        <v>-</v>
      </c>
      <c r="BB22" s="1130"/>
      <c r="BC22" s="1131"/>
      <c r="BW22" s="1074"/>
    </row>
    <row r="23" spans="1:75" ht="18.75" hidden="1" customHeight="1" thickTop="1" thickBot="1">
      <c r="A23" s="867"/>
      <c r="B23" s="867"/>
      <c r="C23" s="867" t="s">
        <v>292</v>
      </c>
      <c r="D23" s="868"/>
      <c r="E23" s="869">
        <f>IF(ISNUMBER(STDEV(E8:E20)),STDEV(E8:E20),"-")</f>
        <v>0</v>
      </c>
      <c r="F23" s="870">
        <f>IF(ISNUMBER(STDEV(F8:F20)),STDEV(F8:F20),"-")</f>
        <v>0</v>
      </c>
      <c r="G23" s="871">
        <f>IF(ISNUMBER(STDEV(G8:G20)),STDEV(G8:G20),"-")</f>
        <v>0</v>
      </c>
      <c r="H23" s="872"/>
      <c r="I23" s="870">
        <f>IF(ISNUMBER(STDEV(I8:I20)),STDEV(I8:I20),"-")</f>
        <v>0</v>
      </c>
      <c r="J23" s="873">
        <f>IF(ISNUMBER(STDEV(J8:J20)),STDEV(J8:J20),"-")</f>
        <v>0</v>
      </c>
      <c r="K23" s="872"/>
      <c r="L23" s="872"/>
      <c r="M23" s="872"/>
      <c r="N23" s="872"/>
      <c r="O23" s="872"/>
      <c r="P23" s="872"/>
      <c r="Q23" s="1300"/>
      <c r="R23" s="1300"/>
      <c r="S23" s="872"/>
      <c r="T23" s="1300"/>
      <c r="U23" s="306"/>
      <c r="V23" s="1167"/>
      <c r="W23" s="870">
        <f>IF(ISNUMBER(STDEV(W8:W20)),STDEV(W8:W20),"-")</f>
        <v>0</v>
      </c>
      <c r="X23" s="874" t="str">
        <f>IF(ISNUMBER(STDEV(X8:X20)),STDEV(X8:X20),"-")</f>
        <v>-</v>
      </c>
      <c r="Y23" s="872">
        <f>IF(ISNUMBER(STDEV(Y8:Y20)),STDEV(Y8:Y20),"-")</f>
        <v>0</v>
      </c>
      <c r="Z23" s="875"/>
      <c r="AA23" s="875"/>
      <c r="AB23" s="875"/>
      <c r="AC23" s="876">
        <f>IF(ISNUMBER(STDEV(AC8:AC20)),STDEV(AC8:AC20),"-")</f>
        <v>0</v>
      </c>
      <c r="AD23" s="877">
        <f>IF(ISNUMBER(STDEV(AD8:AD20)),STDEV(AD8:AD20),"-")</f>
        <v>0</v>
      </c>
      <c r="AE23" s="875">
        <f>IF(ISNUMBER(STDEV(AE8:AE20)),STDEV(AE8:AE20),"-")</f>
        <v>0</v>
      </c>
      <c r="AF23" s="878"/>
      <c r="AG23" s="878"/>
      <c r="AH23" s="878"/>
      <c r="AI23" s="878"/>
      <c r="AJ23" s="878"/>
      <c r="AK23" s="870">
        <f>IF(ISNUMBER(STDEV(AK8:AK20)),STDEV(AK8:AK20),"-")</f>
        <v>0</v>
      </c>
      <c r="AL23" s="870"/>
      <c r="AM23" s="870">
        <f>IF(ISNUMBER(STDEV(AM8:AM20)),STDEV(AM8:AM20),"-")</f>
        <v>0</v>
      </c>
      <c r="AN23" s="876">
        <f>IF(ISNUMBER(STDEV(AN8:AN20)),STDEV(AN8:AN20),"-")</f>
        <v>0</v>
      </c>
      <c r="AO23" s="922" t="str">
        <f>IF(ISNUMBER(STDEV(AO8:AO20)),STDEV(AO8:AO20),"-")</f>
        <v>-</v>
      </c>
      <c r="AP23" s="923" t="str">
        <f>IF(ISNUMBER(STDEV(AP8:AP20)),STDEV(AP8:AP20),"-")</f>
        <v>-</v>
      </c>
      <c r="AQ23" s="879">
        <f>IF(ISNUMBER(STDEV(AQ8:AQ20)),STDEV(AQ8:AQ20),"-")</f>
        <v>0.18856180831641267</v>
      </c>
      <c r="AR23" s="829" t="str">
        <f>IF(ISNUMBER(AS23/AT23),AS23/AT23," - ")</f>
        <v xml:space="preserve"> - </v>
      </c>
      <c r="AS23" s="880" t="str">
        <f>IF(ISNUMBER(STDEV(AS8:AS20)),STDEV(AS8:AS20),"-")</f>
        <v>-</v>
      </c>
      <c r="AT23" s="881"/>
      <c r="AU23" s="882"/>
      <c r="AV23" s="882"/>
      <c r="AW23" s="883">
        <f>IF(ISNUMBER(STDEV(AW8:AW20)),STDEV(AW8:AW20),"-")</f>
        <v>0</v>
      </c>
      <c r="AX23" s="883">
        <f>IF(ISNUMBER(STDEV(AX8:AX20)),STDEV(AX8:AX20),"-")</f>
        <v>0</v>
      </c>
      <c r="AY23" s="883"/>
      <c r="AZ23" s="883"/>
      <c r="BA23" s="883">
        <f>IF(ISNUMBER(STDEV(BA8:BA20)),STDEV(BA8:BA20),"-")</f>
        <v>0</v>
      </c>
      <c r="BB23" s="884">
        <f>IF(ISNUMBER(STDEV(BB8:BB20)),STDEV(BB8:BB20),"-")</f>
        <v>0</v>
      </c>
      <c r="BC23" s="885">
        <f>IF(ISNUMBER(STDEV(BC8:BC20)),STDEV(BC8:BC20),"-")</f>
        <v>0</v>
      </c>
      <c r="BW23" s="612">
        <f>IF(ISNUMBER(STDEV(BW8:BW20)),STDEV(BW8:BW20),"-")</f>
        <v>0</v>
      </c>
    </row>
    <row r="24" spans="1:75" ht="12" customHeight="1" thickTop="1">
      <c r="C24" s="73"/>
      <c r="D24" s="514"/>
      <c r="F24" s="886"/>
      <c r="G24" s="887"/>
      <c r="H24" s="886"/>
      <c r="I24" s="886"/>
      <c r="K24" s="886"/>
      <c r="L24" s="886"/>
      <c r="M24" s="888"/>
      <c r="N24" s="888"/>
      <c r="O24" s="886"/>
      <c r="P24" s="886"/>
      <c r="Q24" s="1301"/>
      <c r="R24" s="1301"/>
      <c r="S24" s="886"/>
      <c r="T24" s="1301"/>
      <c r="U24" s="97"/>
      <c r="V24" s="1168"/>
      <c r="W24" s="886"/>
      <c r="X24" s="889"/>
      <c r="Y24" s="886"/>
      <c r="Z24" s="886"/>
      <c r="AA24" s="886"/>
      <c r="AB24" s="886"/>
      <c r="AC24" s="886"/>
      <c r="AD24" s="886"/>
      <c r="AE24" s="886"/>
      <c r="AF24" s="886"/>
      <c r="AG24" s="886"/>
      <c r="AH24" s="886"/>
      <c r="AI24" s="886"/>
      <c r="AJ24" s="886"/>
      <c r="AK24" s="886"/>
      <c r="AL24" s="886"/>
      <c r="AM24" s="886"/>
      <c r="AN24" s="886"/>
      <c r="AO24" s="887"/>
      <c r="AP24" s="887"/>
      <c r="AQ24" s="886"/>
      <c r="AR24" s="889"/>
      <c r="AS24" s="886" t="s">
        <v>466</v>
      </c>
      <c r="AT24" s="890"/>
      <c r="AU24" s="891"/>
      <c r="AV24" s="891"/>
      <c r="AW24" s="886"/>
      <c r="AX24" s="886"/>
      <c r="AY24" s="886"/>
      <c r="AZ24" s="886"/>
      <c r="BA24" s="613"/>
      <c r="BB24" s="892"/>
      <c r="BC24" s="893"/>
      <c r="BW24" s="618"/>
    </row>
    <row r="25" spans="1:75" ht="14.25">
      <c r="C25" s="165"/>
      <c r="D25" s="563"/>
      <c r="E25" s="894"/>
      <c r="F25" s="895"/>
      <c r="G25" s="811"/>
      <c r="H25" s="896"/>
      <c r="I25" s="896"/>
      <c r="J25" s="897"/>
      <c r="K25" s="896"/>
      <c r="L25" s="896"/>
      <c r="M25" s="860"/>
      <c r="N25" s="860"/>
      <c r="O25" s="896"/>
      <c r="P25" s="896"/>
      <c r="Q25" s="1297"/>
      <c r="R25" s="1297"/>
      <c r="S25" s="896"/>
      <c r="T25" s="1297"/>
      <c r="U25" s="307"/>
      <c r="V25" s="1169"/>
      <c r="W25" s="860"/>
      <c r="X25" s="858"/>
      <c r="Y25" s="896"/>
      <c r="Z25" s="898"/>
      <c r="AA25" s="791"/>
      <c r="AB25" s="898"/>
      <c r="AC25" s="896"/>
      <c r="AD25" s="896"/>
      <c r="AE25" s="896"/>
      <c r="AF25" s="896"/>
      <c r="AG25" s="896"/>
      <c r="AH25" s="896"/>
      <c r="AI25" s="896"/>
      <c r="AJ25" s="896"/>
      <c r="AK25" s="896"/>
      <c r="AL25" s="896"/>
      <c r="AM25" s="896"/>
      <c r="AN25" s="896"/>
      <c r="AO25" s="924"/>
      <c r="AP25" s="924"/>
      <c r="AQ25" s="896"/>
      <c r="AR25" s="858"/>
      <c r="AS25" s="858"/>
      <c r="AT25" s="822"/>
      <c r="AU25" s="899"/>
      <c r="AV25" s="899"/>
      <c r="AW25" s="896"/>
      <c r="AX25" s="896"/>
      <c r="AY25" s="896"/>
      <c r="AZ25" s="896"/>
      <c r="BA25" s="621"/>
      <c r="BB25" s="900"/>
      <c r="BC25" s="900"/>
      <c r="BW25" s="623"/>
    </row>
    <row r="26" spans="1:75" ht="14.25">
      <c r="C26" s="7"/>
      <c r="D26" s="567"/>
      <c r="E26" s="894"/>
      <c r="F26" s="895"/>
      <c r="G26" s="811"/>
      <c r="H26" s="896"/>
      <c r="I26" s="896"/>
      <c r="J26" s="897"/>
      <c r="K26" s="896"/>
      <c r="L26" s="896"/>
      <c r="M26" s="860"/>
      <c r="N26" s="860"/>
      <c r="O26" s="896"/>
      <c r="P26" s="896"/>
      <c r="Q26" s="1297"/>
      <c r="R26" s="1297"/>
      <c r="S26" s="896"/>
      <c r="T26" s="1297"/>
      <c r="U26" s="307"/>
      <c r="V26" s="1169"/>
      <c r="W26" s="860"/>
      <c r="X26" s="858"/>
      <c r="Y26" s="896"/>
      <c r="Z26" s="898"/>
      <c r="AA26" s="791"/>
      <c r="AB26" s="898"/>
      <c r="AC26" s="896"/>
      <c r="AD26" s="896"/>
      <c r="AE26" s="896"/>
      <c r="AF26" s="896"/>
      <c r="AG26" s="896"/>
      <c r="AH26" s="896"/>
      <c r="AI26" s="896"/>
      <c r="AJ26" s="896"/>
      <c r="AK26" s="896"/>
      <c r="AL26" s="896"/>
      <c r="AM26" s="896"/>
      <c r="AN26" s="896"/>
      <c r="AO26" s="924"/>
      <c r="AP26" s="924"/>
      <c r="AQ26" s="896"/>
      <c r="AR26" s="858"/>
      <c r="AS26" s="858"/>
      <c r="AT26" s="822"/>
      <c r="AU26" s="899"/>
      <c r="AV26" s="899"/>
      <c r="AW26" s="896"/>
      <c r="AX26" s="896"/>
      <c r="AY26" s="896"/>
      <c r="AZ26" s="896"/>
      <c r="BA26" s="621"/>
      <c r="BB26" s="900"/>
      <c r="BC26" s="900"/>
      <c r="BW26" s="623"/>
    </row>
    <row r="27" spans="1:75" ht="12.75" hidden="1" customHeight="1">
      <c r="C27" s="568" t="s">
        <v>289</v>
      </c>
      <c r="D27" s="567"/>
      <c r="E27" s="901">
        <f t="shared" ref="E27:AV27" si="12">E25+2*E26</f>
        <v>0</v>
      </c>
      <c r="F27" s="861">
        <f t="shared" si="12"/>
        <v>0</v>
      </c>
      <c r="G27" s="902">
        <f t="shared" si="12"/>
        <v>0</v>
      </c>
      <c r="H27" s="903">
        <f>H25+2*H26</f>
        <v>0</v>
      </c>
      <c r="I27" s="903">
        <f t="shared" si="12"/>
        <v>0</v>
      </c>
      <c r="J27" s="904">
        <f>J25+2*J26</f>
        <v>0</v>
      </c>
      <c r="K27" s="903">
        <f t="shared" si="12"/>
        <v>0</v>
      </c>
      <c r="L27" s="903">
        <f t="shared" si="12"/>
        <v>0</v>
      </c>
      <c r="M27" s="903">
        <f t="shared" si="12"/>
        <v>0</v>
      </c>
      <c r="N27" s="903">
        <f t="shared" si="12"/>
        <v>0</v>
      </c>
      <c r="O27" s="903">
        <f t="shared" si="12"/>
        <v>0</v>
      </c>
      <c r="P27" s="903">
        <f t="shared" si="12"/>
        <v>0</v>
      </c>
      <c r="Q27" s="905">
        <f t="shared" si="12"/>
        <v>0</v>
      </c>
      <c r="R27" s="905">
        <f t="shared" si="12"/>
        <v>0</v>
      </c>
      <c r="S27" s="903">
        <f t="shared" si="12"/>
        <v>0</v>
      </c>
      <c r="T27" s="906">
        <f t="shared" si="12"/>
        <v>0</v>
      </c>
      <c r="U27" s="935">
        <f t="shared" si="12"/>
        <v>0</v>
      </c>
      <c r="V27" s="906">
        <f t="shared" si="12"/>
        <v>0</v>
      </c>
      <c r="W27" s="857">
        <f t="shared" si="12"/>
        <v>0</v>
      </c>
      <c r="X27" s="907">
        <f t="shared" si="12"/>
        <v>0</v>
      </c>
      <c r="Y27" s="857">
        <f t="shared" si="12"/>
        <v>0</v>
      </c>
      <c r="Z27" s="857">
        <f t="shared" si="12"/>
        <v>0</v>
      </c>
      <c r="AA27" s="857">
        <f t="shared" si="12"/>
        <v>0</v>
      </c>
      <c r="AB27" s="857">
        <f t="shared" si="12"/>
        <v>0</v>
      </c>
      <c r="AC27" s="857">
        <f t="shared" si="12"/>
        <v>0</v>
      </c>
      <c r="AD27" s="857">
        <f t="shared" si="12"/>
        <v>0</v>
      </c>
      <c r="AE27" s="857">
        <f t="shared" si="12"/>
        <v>0</v>
      </c>
      <c r="AF27" s="857">
        <f t="shared" si="12"/>
        <v>0</v>
      </c>
      <c r="AG27" s="857">
        <f t="shared" si="12"/>
        <v>0</v>
      </c>
      <c r="AH27" s="857">
        <f t="shared" si="12"/>
        <v>0</v>
      </c>
      <c r="AI27" s="857">
        <f t="shared" si="12"/>
        <v>0</v>
      </c>
      <c r="AJ27" s="857">
        <f t="shared" si="12"/>
        <v>0</v>
      </c>
      <c r="AK27" s="857">
        <f t="shared" si="12"/>
        <v>0</v>
      </c>
      <c r="AL27" s="857">
        <f t="shared" si="12"/>
        <v>0</v>
      </c>
      <c r="AM27" s="857">
        <f t="shared" si="12"/>
        <v>0</v>
      </c>
      <c r="AN27" s="857">
        <f t="shared" si="12"/>
        <v>0</v>
      </c>
      <c r="AO27" s="925">
        <f t="shared" si="12"/>
        <v>0</v>
      </c>
      <c r="AP27" s="925">
        <f t="shared" si="12"/>
        <v>0</v>
      </c>
      <c r="AQ27" s="908">
        <f>AQ25+2*AQ26</f>
        <v>0</v>
      </c>
      <c r="AR27" s="907">
        <f t="shared" si="12"/>
        <v>0</v>
      </c>
      <c r="AS27" s="909">
        <f t="shared" si="12"/>
        <v>0</v>
      </c>
      <c r="AT27" s="909">
        <f t="shared" si="12"/>
        <v>0</v>
      </c>
      <c r="AU27" s="857">
        <f t="shared" si="12"/>
        <v>0</v>
      </c>
      <c r="AV27" s="857">
        <f t="shared" si="12"/>
        <v>0</v>
      </c>
      <c r="AW27" s="857">
        <f>AW25+2*AW26</f>
        <v>0</v>
      </c>
      <c r="AX27" s="857">
        <f>AX25+2*AX26</f>
        <v>0</v>
      </c>
      <c r="AY27" s="857">
        <f>AY25+2*AY26</f>
        <v>0</v>
      </c>
      <c r="AZ27" s="857">
        <f>AZ25+2*AZ26</f>
        <v>0</v>
      </c>
      <c r="BA27" s="857">
        <f>BA25+2*BA26</f>
        <v>0</v>
      </c>
      <c r="BB27" s="857">
        <f>(BB25-ultimoDiaTrim)+2*BB26</f>
        <v>0</v>
      </c>
      <c r="BC27" s="910"/>
      <c r="BW27" s="572"/>
    </row>
    <row r="28" spans="1:75" ht="12.75" hidden="1" customHeight="1">
      <c r="C28" s="568" t="s">
        <v>290</v>
      </c>
      <c r="D28" s="567"/>
      <c r="E28" s="901">
        <f t="shared" ref="E28:AV28" si="13">MIN(0,E25-2*E26)</f>
        <v>0</v>
      </c>
      <c r="F28" s="861">
        <f t="shared" si="13"/>
        <v>0</v>
      </c>
      <c r="G28" s="902">
        <f t="shared" si="13"/>
        <v>0</v>
      </c>
      <c r="H28" s="857">
        <f>MIN(0,H25-2*H26)</f>
        <v>0</v>
      </c>
      <c r="I28" s="857">
        <f t="shared" si="13"/>
        <v>0</v>
      </c>
      <c r="J28" s="911">
        <f>MIN(0,J25-2*J26)</f>
        <v>0</v>
      </c>
      <c r="K28" s="857">
        <f t="shared" si="13"/>
        <v>0</v>
      </c>
      <c r="L28" s="857">
        <f t="shared" si="13"/>
        <v>0</v>
      </c>
      <c r="M28" s="857">
        <f t="shared" si="13"/>
        <v>0</v>
      </c>
      <c r="N28" s="857">
        <f t="shared" si="13"/>
        <v>0</v>
      </c>
      <c r="O28" s="857">
        <f t="shared" si="13"/>
        <v>0</v>
      </c>
      <c r="P28" s="857">
        <f t="shared" si="13"/>
        <v>0</v>
      </c>
      <c r="Q28" s="907">
        <f t="shared" si="13"/>
        <v>0</v>
      </c>
      <c r="R28" s="907">
        <f t="shared" si="13"/>
        <v>0</v>
      </c>
      <c r="S28" s="857">
        <f t="shared" si="13"/>
        <v>0</v>
      </c>
      <c r="T28" s="909">
        <f t="shared" si="13"/>
        <v>0</v>
      </c>
      <c r="U28" s="936">
        <f t="shared" si="13"/>
        <v>0</v>
      </c>
      <c r="V28" s="909">
        <f t="shared" si="13"/>
        <v>0</v>
      </c>
      <c r="W28" s="857">
        <f t="shared" si="13"/>
        <v>0</v>
      </c>
      <c r="X28" s="907">
        <f t="shared" si="13"/>
        <v>0</v>
      </c>
      <c r="Y28" s="857">
        <f t="shared" si="13"/>
        <v>0</v>
      </c>
      <c r="Z28" s="857">
        <f t="shared" si="13"/>
        <v>0</v>
      </c>
      <c r="AA28" s="857">
        <f t="shared" si="13"/>
        <v>0</v>
      </c>
      <c r="AB28" s="857">
        <f t="shared" si="13"/>
        <v>0</v>
      </c>
      <c r="AC28" s="857">
        <f t="shared" si="13"/>
        <v>0</v>
      </c>
      <c r="AD28" s="857">
        <f t="shared" si="13"/>
        <v>0</v>
      </c>
      <c r="AE28" s="857">
        <f t="shared" si="13"/>
        <v>0</v>
      </c>
      <c r="AF28" s="857">
        <f t="shared" si="13"/>
        <v>0</v>
      </c>
      <c r="AG28" s="857">
        <f t="shared" si="13"/>
        <v>0</v>
      </c>
      <c r="AH28" s="857">
        <f t="shared" si="13"/>
        <v>0</v>
      </c>
      <c r="AI28" s="857">
        <f t="shared" si="13"/>
        <v>0</v>
      </c>
      <c r="AJ28" s="857">
        <f t="shared" si="13"/>
        <v>0</v>
      </c>
      <c r="AK28" s="857">
        <f t="shared" si="13"/>
        <v>0</v>
      </c>
      <c r="AL28" s="857">
        <f t="shared" si="13"/>
        <v>0</v>
      </c>
      <c r="AM28" s="857">
        <f t="shared" si="13"/>
        <v>0</v>
      </c>
      <c r="AN28" s="857">
        <f t="shared" si="13"/>
        <v>0</v>
      </c>
      <c r="AO28" s="925">
        <f t="shared" si="13"/>
        <v>0</v>
      </c>
      <c r="AP28" s="925">
        <f t="shared" si="13"/>
        <v>0</v>
      </c>
      <c r="AQ28" s="908">
        <f>MIN(0,AQ25-2*AQ26)</f>
        <v>0</v>
      </c>
      <c r="AR28" s="907">
        <f t="shared" si="13"/>
        <v>0</v>
      </c>
      <c r="AS28" s="909">
        <f t="shared" si="13"/>
        <v>0</v>
      </c>
      <c r="AT28" s="909">
        <f t="shared" si="13"/>
        <v>0</v>
      </c>
      <c r="AU28" s="857">
        <f t="shared" si="13"/>
        <v>0</v>
      </c>
      <c r="AV28" s="857">
        <f t="shared" si="13"/>
        <v>0</v>
      </c>
      <c r="AW28" s="857">
        <f>MIN(0,AW25-2*AW26)</f>
        <v>0</v>
      </c>
      <c r="AX28" s="857">
        <f>MIN(0,AX25-2*AX26)</f>
        <v>0</v>
      </c>
      <c r="AY28" s="857">
        <f>MIN(0,AY25-2*AY26)</f>
        <v>0</v>
      </c>
      <c r="AZ28" s="857">
        <f>MIN(0,AZ25-2*AZ26)</f>
        <v>0</v>
      </c>
      <c r="BA28" s="857">
        <f>MIN(0,BA25-2*BA26)</f>
        <v>0</v>
      </c>
      <c r="BB28" s="857">
        <f>MIN(0,(BB25-ultimoDiaTrim)-2*BB26)</f>
        <v>0</v>
      </c>
      <c r="BC28" s="910"/>
      <c r="BW28" s="572"/>
    </row>
    <row r="29" spans="1:75">
      <c r="C29" s="73"/>
      <c r="D29" s="514"/>
    </row>
    <row r="32" spans="1:75">
      <c r="C32" s="754" t="str">
        <f>Criterios!A4</f>
        <v>Fecha Informe: 06 jun. 2023</v>
      </c>
    </row>
    <row r="34" spans="3:4">
      <c r="C34" s="912"/>
      <c r="D34" s="913"/>
    </row>
  </sheetData>
  <sheetProtection algorithmName="SHA-512" hashValue="d2D/CVR21+EJa1cRKA2/5uHlKe5CSqDlyPruXdOBaTIpkRXM8ZcDJ8+e5Ixni1KQihSDdPWOn47T+xWGR4f8PQ==" saltValue="bNyatXPUkSJhGayYqiisa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19">
    <cfRule type="expression" dxfId="120" priority="280" stopIfTrue="1">
      <formula>IF(F9&lt;&gt;G9,TRUE,FALSE)</formula>
    </cfRule>
  </conditionalFormatting>
  <conditionalFormatting sqref="G10 G13 G16:G19">
    <cfRule type="cellIs" dxfId="119" priority="281" stopIfTrue="1" operator="notBetween">
      <formula>$G$27</formula>
      <formula>$G$28</formula>
    </cfRule>
  </conditionalFormatting>
  <conditionalFormatting sqref="F9:F13 F16:F19">
    <cfRule type="cellIs" dxfId="118" priority="282" stopIfTrue="1" operator="notBetween">
      <formula>$F$27</formula>
      <formula>$F$28</formula>
    </cfRule>
  </conditionalFormatting>
  <conditionalFormatting sqref="I9:I13 I16:I19">
    <cfRule type="cellIs" dxfId="117" priority="287" stopIfTrue="1" operator="notBetween">
      <formula>$I$27</formula>
      <formula>$I$28</formula>
    </cfRule>
  </conditionalFormatting>
  <conditionalFormatting sqref="K9:K13 K16:K19">
    <cfRule type="cellIs" dxfId="116" priority="267" stopIfTrue="1" operator="notBetween">
      <formula>$K$27</formula>
      <formula>$K$28</formula>
    </cfRule>
  </conditionalFormatting>
  <conditionalFormatting sqref="M9:M13 M16:M19">
    <cfRule type="cellIs" dxfId="115" priority="266" stopIfTrue="1" operator="notBetween">
      <formula>$M$27</formula>
      <formula>$M$28</formula>
    </cfRule>
  </conditionalFormatting>
  <conditionalFormatting sqref="P9:P13 P16:P19">
    <cfRule type="cellIs" dxfId="114" priority="265" stopIfTrue="1" operator="notBetween">
      <formula>$P$27</formula>
      <formula>$P$28</formula>
    </cfRule>
  </conditionalFormatting>
  <conditionalFormatting sqref="H9:H13 H16:H19">
    <cfRule type="cellIs" dxfId="113" priority="264" stopIfTrue="1" operator="notBetween">
      <formula>$H$27</formula>
      <formula>$H$28</formula>
    </cfRule>
  </conditionalFormatting>
  <conditionalFormatting sqref="R9:R13 R16:R19">
    <cfRule type="cellIs" dxfId="112" priority="263" stopIfTrue="1" operator="notBetween">
      <formula>$R$27</formula>
      <formula>$R$28</formula>
    </cfRule>
  </conditionalFormatting>
  <conditionalFormatting sqref="S9:S13 S16:S19">
    <cfRule type="cellIs" dxfId="111" priority="262" stopIfTrue="1" operator="notBetween">
      <formula>$S$27</formula>
      <formula>$S$28</formula>
    </cfRule>
  </conditionalFormatting>
  <conditionalFormatting sqref="T9:T13 T16:T19">
    <cfRule type="cellIs" dxfId="110" priority="261" stopIfTrue="1" operator="notBetween">
      <formula>$T$27</formula>
      <formula>$T$28</formula>
    </cfRule>
  </conditionalFormatting>
  <conditionalFormatting sqref="W16:W19 W9:W13">
    <cfRule type="cellIs" dxfId="109" priority="259" stopIfTrue="1" operator="notBetween">
      <formula>$W$27</formula>
      <formula>$W$28</formula>
    </cfRule>
  </conditionalFormatting>
  <conditionalFormatting sqref="X9:X13 X16:X19">
    <cfRule type="cellIs" dxfId="108" priority="257" stopIfTrue="1" operator="notBetween">
      <formula>$X$27</formula>
      <formula>$X$28</formula>
    </cfRule>
  </conditionalFormatting>
  <conditionalFormatting sqref="Y9:Y13 Y16:Y19">
    <cfRule type="cellIs" dxfId="107" priority="256" stopIfTrue="1" operator="notBetween">
      <formula>$Y$27</formula>
      <formula>$Y$28</formula>
    </cfRule>
  </conditionalFormatting>
  <conditionalFormatting sqref="AA9:AA13 AA16:AA19">
    <cfRule type="cellIs" dxfId="106" priority="255" stopIfTrue="1" operator="notBetween">
      <formula>$AA$27</formula>
      <formula>$AA$28</formula>
    </cfRule>
  </conditionalFormatting>
  <conditionalFormatting sqref="AB16:AB19 AB9:AB13">
    <cfRule type="cellIs" dxfId="105" priority="254" stopIfTrue="1" operator="notBetween">
      <formula>$AB$27</formula>
      <formula>$AB$28</formula>
    </cfRule>
  </conditionalFormatting>
  <conditionalFormatting sqref="AC9:AC13 AC16:AC19">
    <cfRule type="cellIs" dxfId="104" priority="248" stopIfTrue="1" operator="notBetween">
      <formula>$AC$27</formula>
      <formula>$AC$28</formula>
    </cfRule>
  </conditionalFormatting>
  <conditionalFormatting sqref="AD9:AD13 AD16:AD19">
    <cfRule type="cellIs" dxfId="103" priority="247" stopIfTrue="1" operator="notBetween">
      <formula>$AD$27</formula>
      <formula>$AD$28</formula>
    </cfRule>
  </conditionalFormatting>
  <conditionalFormatting sqref="AE9:AE13 AE16:AE19">
    <cfRule type="cellIs" dxfId="102" priority="246" stopIfTrue="1" operator="notBetween">
      <formula>$AE$27</formula>
      <formula>$AE$28</formula>
    </cfRule>
  </conditionalFormatting>
  <conditionalFormatting sqref="AF9:AF13 AF16:AF19">
    <cfRule type="cellIs" dxfId="101" priority="245" stopIfTrue="1" operator="notBetween">
      <formula>$AF$27</formula>
      <formula>$AF$28</formula>
    </cfRule>
  </conditionalFormatting>
  <conditionalFormatting sqref="AG9:AG13 AG16:AG19">
    <cfRule type="cellIs" dxfId="100" priority="244" stopIfTrue="1" operator="notBetween">
      <formula>$AG$27</formula>
      <formula>$AG$28</formula>
    </cfRule>
  </conditionalFormatting>
  <conditionalFormatting sqref="AH9:AH13 AH16:AH19">
    <cfRule type="cellIs" dxfId="99" priority="243" stopIfTrue="1" operator="notBetween">
      <formula>$AH$27</formula>
      <formula>$AH$28</formula>
    </cfRule>
  </conditionalFormatting>
  <conditionalFormatting sqref="AI9:AI13 AI16:AI19">
    <cfRule type="cellIs" dxfId="98" priority="242" stopIfTrue="1" operator="notBetween">
      <formula>$AI$27</formula>
      <formula>$AI$28</formula>
    </cfRule>
  </conditionalFormatting>
  <conditionalFormatting sqref="AJ9:AJ13 AJ16:AJ19">
    <cfRule type="cellIs" dxfId="97" priority="241" stopIfTrue="1" operator="notBetween">
      <formula>$AJ$27</formula>
      <formula>$AJ$28</formula>
    </cfRule>
  </conditionalFormatting>
  <conditionalFormatting sqref="AK16:AK19 AK9:AK13">
    <cfRule type="cellIs" dxfId="96" priority="240" stopIfTrue="1" operator="notBetween">
      <formula>$AK$27</formula>
      <formula>$AK$28</formula>
    </cfRule>
  </conditionalFormatting>
  <conditionalFormatting sqref="AL9:AL13 AL16:AL19">
    <cfRule type="cellIs" dxfId="95" priority="237" stopIfTrue="1" operator="notBetween">
      <formula>$AL$27</formula>
      <formula>$AL$28</formula>
    </cfRule>
  </conditionalFormatting>
  <conditionalFormatting sqref="AM9:AM13 AM16:AM19">
    <cfRule type="cellIs" dxfId="94" priority="236" stopIfTrue="1" operator="notBetween">
      <formula>$AM$27</formula>
      <formula>$AM$28</formula>
    </cfRule>
  </conditionalFormatting>
  <conditionalFormatting sqref="AN9:AN13 AN16:AN19">
    <cfRule type="cellIs" dxfId="93" priority="235" stopIfTrue="1" operator="notBetween">
      <formula>$AN$27</formula>
      <formula>$AN$28</formula>
    </cfRule>
  </conditionalFormatting>
  <conditionalFormatting sqref="AP9:AP13 AP16:AP19">
    <cfRule type="cellIs" dxfId="92" priority="234" stopIfTrue="1" operator="notBetween">
      <formula>$AP$27</formula>
      <formula>$AP$28</formula>
    </cfRule>
  </conditionalFormatting>
  <conditionalFormatting sqref="AQ9:AQ13 AQ16:AQ19">
    <cfRule type="cellIs" dxfId="91" priority="233" stopIfTrue="1" operator="notBetween">
      <formula>$AQ$27</formula>
      <formula>$AQ$28</formula>
    </cfRule>
  </conditionalFormatting>
  <conditionalFormatting sqref="AR9:AR13 AR16:AR19">
    <cfRule type="cellIs" dxfId="90" priority="232" stopIfTrue="1" operator="notBetween">
      <formula>$AR$27</formula>
      <formula>$AR$28</formula>
    </cfRule>
  </conditionalFormatting>
  <conditionalFormatting sqref="AS16:AS19 AS9:AS13">
    <cfRule type="cellIs" dxfId="89" priority="231" stopIfTrue="1" operator="notBetween">
      <formula>$AS$27</formula>
      <formula>$AS$28</formula>
    </cfRule>
  </conditionalFormatting>
  <conditionalFormatting sqref="AT9:AT13 AT16:AT19">
    <cfRule type="cellIs" dxfId="88" priority="229" stopIfTrue="1" operator="notBetween">
      <formula>$AT$27</formula>
      <formula>$AT$28</formula>
    </cfRule>
  </conditionalFormatting>
  <conditionalFormatting sqref="AU9:AU13 AU16:AU19">
    <cfRule type="cellIs" dxfId="87" priority="228" stopIfTrue="1" operator="notBetween">
      <formula>$AU$27</formula>
      <formula>$AU$28</formula>
    </cfRule>
  </conditionalFormatting>
  <conditionalFormatting sqref="AV9:AV13 AV16:AV19">
    <cfRule type="cellIs" dxfId="86" priority="227" stopIfTrue="1" operator="notBetween">
      <formula>$AV$27</formula>
      <formula>$AV$28</formula>
    </cfRule>
  </conditionalFormatting>
  <conditionalFormatting sqref="AX9:AX13 AX16:AX19">
    <cfRule type="cellIs" dxfId="85" priority="226" stopIfTrue="1" operator="notBetween">
      <formula>$AX$27</formula>
      <formula>$AX$28</formula>
    </cfRule>
  </conditionalFormatting>
  <conditionalFormatting sqref="AZ9:AZ13 AZ16:AZ19">
    <cfRule type="cellIs" dxfId="84" priority="225" stopIfTrue="1" operator="notBetween">
      <formula>$AZ$27</formula>
      <formula>$AZ$28</formula>
    </cfRule>
  </conditionalFormatting>
  <conditionalFormatting sqref="O9:O13 O16:O19">
    <cfRule type="cellIs" dxfId="83" priority="224" stopIfTrue="1" operator="notBetween">
      <formula>$O$27</formula>
      <formula>$O$28</formula>
    </cfRule>
  </conditionalFormatting>
  <conditionalFormatting sqref="G9">
    <cfRule type="expression" dxfId="82" priority="288" stopIfTrue="1">
      <formula>IF(G9&lt;&gt;I9,TRUE,FALSE)</formula>
    </cfRule>
  </conditionalFormatting>
  <conditionalFormatting sqref="Z9:Z13 Z16:Z19">
    <cfRule type="cellIs" dxfId="81" priority="203" stopIfTrue="1" operator="notBetween">
      <formula>$Z$27</formula>
      <formula>$Z$28</formula>
    </cfRule>
  </conditionalFormatting>
  <conditionalFormatting sqref="AO9:AO13 AO16:AO19">
    <cfRule type="cellIs" dxfId="80" priority="202" stopIfTrue="1" operator="notBetween">
      <formula>$AO$27</formula>
      <formula>$AO$28</formula>
    </cfRule>
  </conditionalFormatting>
  <conditionalFormatting sqref="J16:J19 J9:J13">
    <cfRule type="cellIs" dxfId="79" priority="2358" stopIfTrue="1" operator="notBetween">
      <formula>$J$27</formula>
      <formula>$J$28</formula>
    </cfRule>
  </conditionalFormatting>
  <conditionalFormatting sqref="E16:E19 E9:E13">
    <cfRule type="cellIs" dxfId="78" priority="201" stopIfTrue="1" operator="notBetween">
      <formula>$E$27</formula>
      <formula>$E$28</formula>
    </cfRule>
  </conditionalFormatting>
  <conditionalFormatting sqref="I11">
    <cfRule type="cellIs" dxfId="77" priority="2414" stopIfTrue="1" operator="greaterThan">
      <formula>#REF!</formula>
    </cfRule>
    <cfRule type="cellIs" dxfId="76" priority="2415" stopIfTrue="1" operator="lessThan">
      <formula>#REF!</formula>
    </cfRule>
  </conditionalFormatting>
  <conditionalFormatting sqref="I12">
    <cfRule type="cellIs" dxfId="75" priority="2416" stopIfTrue="1" operator="greaterThan">
      <formula>#REF!</formula>
    </cfRule>
    <cfRule type="cellIs" dxfId="74" priority="2417" stopIfTrue="1" operator="lessThan">
      <formula>#REF!</formula>
    </cfRule>
  </conditionalFormatting>
  <conditionalFormatting sqref="U9">
    <cfRule type="cellIs" dxfId="73" priority="106" stopIfTrue="1" operator="greaterThan">
      <formula>$BW$9</formula>
    </cfRule>
    <cfRule type="cellIs" dxfId="72" priority="107" stopIfTrue="1" operator="lessThan">
      <formula>$BW$9</formula>
    </cfRule>
  </conditionalFormatting>
  <conditionalFormatting sqref="U10">
    <cfRule type="cellIs" dxfId="71" priority="102" stopIfTrue="1" operator="greaterThan">
      <formula>$BW$10</formula>
    </cfRule>
    <cfRule type="cellIs" dxfId="70" priority="103" stopIfTrue="1" operator="lessThan">
      <formula>$BW$10</formula>
    </cfRule>
  </conditionalFormatting>
  <conditionalFormatting sqref="U11">
    <cfRule type="cellIs" dxfId="69" priority="98" stopIfTrue="1" operator="greaterThan">
      <formula>$BW$11</formula>
    </cfRule>
    <cfRule type="cellIs" dxfId="68" priority="99" stopIfTrue="1" operator="lessThan">
      <formula>$BW$11</formula>
    </cfRule>
  </conditionalFormatting>
  <conditionalFormatting sqref="U12">
    <cfRule type="cellIs" dxfId="67" priority="96" stopIfTrue="1" operator="greaterThan">
      <formula>$BW$12</formula>
    </cfRule>
    <cfRule type="cellIs" dxfId="66" priority="97" stopIfTrue="1" operator="lessThan">
      <formula>$BW$12</formula>
    </cfRule>
  </conditionalFormatting>
  <conditionalFormatting sqref="U13">
    <cfRule type="cellIs" dxfId="65" priority="94" stopIfTrue="1" operator="greaterThan">
      <formula>$BW$13</formula>
    </cfRule>
    <cfRule type="cellIs" dxfId="64" priority="95" stopIfTrue="1" operator="lessThan">
      <formula>$BW$13</formula>
    </cfRule>
  </conditionalFormatting>
  <conditionalFormatting sqref="U16">
    <cfRule type="cellIs" dxfId="63" priority="82" stopIfTrue="1" operator="greaterThan">
      <formula>$BW$16</formula>
    </cfRule>
    <cfRule type="cellIs" dxfId="62" priority="83" stopIfTrue="1" operator="lessThan">
      <formula>$BW$16</formula>
    </cfRule>
  </conditionalFormatting>
  <conditionalFormatting sqref="U17">
    <cfRule type="cellIs" dxfId="61" priority="80" stopIfTrue="1" operator="greaterThan">
      <formula>$BW$17</formula>
    </cfRule>
    <cfRule type="cellIs" dxfId="60" priority="81" stopIfTrue="1" operator="lessThan">
      <formula>$BW$17</formula>
    </cfRule>
  </conditionalFormatting>
  <conditionalFormatting sqref="U18">
    <cfRule type="cellIs" dxfId="59" priority="78" stopIfTrue="1" operator="greaterThan">
      <formula>$BW$18</formula>
    </cfRule>
    <cfRule type="cellIs" dxfId="58" priority="79" stopIfTrue="1" operator="lessThan">
      <formula>$BW$18</formula>
    </cfRule>
  </conditionalFormatting>
  <conditionalFormatting sqref="U19">
    <cfRule type="cellIs" dxfId="57" priority="76" stopIfTrue="1" operator="greaterThan">
      <formula>$BW$19</formula>
    </cfRule>
    <cfRule type="cellIs" dxfId="56" priority="77" stopIfTrue="1" operator="lessThan">
      <formula>$BW$19</formula>
    </cfRule>
  </conditionalFormatting>
  <conditionalFormatting sqref="AW9:AW13 AW16:AW19">
    <cfRule type="cellIs" dxfId="55" priority="16" stopIfTrue="1" operator="notBetween">
      <formula>$AW$27</formula>
      <formula>$AW$28</formula>
    </cfRule>
  </conditionalFormatting>
  <conditionalFormatting sqref="AY9:AY13 AY16:AY19">
    <cfRule type="cellIs" dxfId="54" priority="15" stopIfTrue="1" operator="notBetween">
      <formula>$AY$27</formula>
      <formula>$AY$28</formula>
    </cfRule>
  </conditionalFormatting>
  <conditionalFormatting sqref="BA9:BA13 BA16:BA19">
    <cfRule type="cellIs" dxfId="53" priority="1" stopIfTrue="1" operator="notBetween">
      <formula>$BA$27</formula>
      <formula>$BA$28</formula>
    </cfRule>
  </conditionalFormatting>
  <conditionalFormatting sqref="BB15:BB19 BB9:BB13">
    <cfRule type="expression" dxfId="52" priority="4142" stopIfTrue="1">
      <formula>NOT(AND($BB9-ultimoDiaTrim&gt;=$BB$28,$BB9-ultimoDiaTrim&lt;=$BB$27))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303" customWidth="1"/>
    <col min="4" max="4" width="15" style="1303" customWidth="1"/>
    <col min="5" max="5" width="11.42578125" style="1312"/>
  </cols>
  <sheetData>
    <row r="1" spans="2:5" ht="83.25" customHeight="1"/>
    <row r="2" spans="2:5">
      <c r="B2" s="1304" t="s">
        <v>892</v>
      </c>
    </row>
    <row r="3" spans="2:5" ht="16.5" customHeight="1" thickBot="1">
      <c r="B3" s="1305" t="s">
        <v>893</v>
      </c>
      <c r="C3" s="1305" t="s">
        <v>894</v>
      </c>
      <c r="D3" s="1305" t="s">
        <v>895</v>
      </c>
      <c r="E3" s="1313" t="s">
        <v>900</v>
      </c>
    </row>
  </sheetData>
  <sheetProtection algorithmName="SHA-512" hashValue="+0GqH7CnAcwkEG8SWN9Cexl7gcrWLgsOzAXmbjcO3wgq78b1aZzRDcdQFsksrYQPlOzTglBBayyepYfX7FYv9A==" saltValue="1M5wCw5FUZ2drxYaIhBIZ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9"/>
  <sheetViews>
    <sheetView zoomScale="85" zoomScaleNormal="85" workbookViewId="0">
      <selection activeCell="A5" sqref="A5:A6"/>
    </sheetView>
  </sheetViews>
  <sheetFormatPr baseColWidth="10" defaultColWidth="11.42578125" defaultRowHeight="12.75"/>
  <cols>
    <col min="1" max="1" width="33.5703125" style="399" customWidth="1"/>
    <col min="2" max="2" width="9.42578125" style="399" customWidth="1"/>
    <col min="3" max="3" width="13.28515625" style="399" customWidth="1"/>
    <col min="4" max="4" width="13" style="399" hidden="1" customWidth="1"/>
    <col min="5" max="5" width="13.42578125" style="399" customWidth="1"/>
    <col min="6" max="6" width="10.7109375" style="399" customWidth="1"/>
    <col min="7" max="7" width="14.7109375" style="399" customWidth="1"/>
    <col min="8" max="8" width="10.7109375" style="399" customWidth="1"/>
    <col min="9" max="9" width="14.7109375" style="399" customWidth="1"/>
    <col min="10" max="10" width="10.85546875" style="399" customWidth="1"/>
    <col min="11" max="13" width="14.85546875" style="399" hidden="1" customWidth="1"/>
    <col min="14" max="14" width="14.140625" style="399" hidden="1" customWidth="1"/>
    <col min="15" max="16384" width="11.42578125" style="399"/>
  </cols>
  <sheetData>
    <row r="1" spans="1:14" ht="108" customHeight="1"/>
    <row r="2" spans="1:14">
      <c r="A2" s="400"/>
      <c r="B2" s="401" t="str">
        <f>Criterios!A9 &amp;"  "&amp;Criterios!B9</f>
        <v>Tribunales de Justicia  ANDALUCIA</v>
      </c>
      <c r="C2" s="400"/>
      <c r="D2" s="400"/>
      <c r="E2" s="400"/>
      <c r="F2" s="400"/>
    </row>
    <row r="3" spans="1:14" ht="19.5">
      <c r="A3" s="402" t="s">
        <v>128</v>
      </c>
      <c r="B3" s="403" t="str">
        <f>Criterios!A10 &amp;"  "&amp;Criterios!B10</f>
        <v>Provincias  CORDOBA</v>
      </c>
      <c r="D3" s="400"/>
      <c r="E3" s="400"/>
      <c r="F3" s="400"/>
    </row>
    <row r="4" spans="1:14" ht="13.5" thickBot="1">
      <c r="A4" s="400"/>
      <c r="B4" s="403" t="str">
        <f>Criterios!A11 &amp;"  "&amp;Criterios!B11</f>
        <v>Resumenes por Partidos Judiciales  PUENTE GENIL</v>
      </c>
      <c r="C4" s="400"/>
      <c r="D4" s="400"/>
      <c r="E4" s="400"/>
      <c r="F4" s="400"/>
    </row>
    <row r="5" spans="1:14" ht="15.75" customHeight="1">
      <c r="A5" s="1357" t="str">
        <f>"Año:  " &amp;Criterios!B5 &amp; "     Trimestre   " &amp;Criterios!D5 &amp; " al " &amp;Criterios!D6</f>
        <v>Año:  2023     Trimestre   1 al 1</v>
      </c>
      <c r="B5" s="938" t="s">
        <v>129</v>
      </c>
      <c r="C5" s="1359" t="s">
        <v>141</v>
      </c>
      <c r="D5" s="1360"/>
      <c r="E5" s="1359" t="s">
        <v>95</v>
      </c>
      <c r="F5" s="1360"/>
      <c r="G5" s="1359" t="s">
        <v>9</v>
      </c>
      <c r="H5" s="1360"/>
      <c r="I5" s="1359" t="s">
        <v>142</v>
      </c>
      <c r="J5" s="1360"/>
      <c r="K5" s="1366" t="s">
        <v>817</v>
      </c>
      <c r="L5" s="1350" t="s">
        <v>866</v>
      </c>
      <c r="M5" s="1350" t="s">
        <v>942</v>
      </c>
      <c r="N5" s="1353" t="s">
        <v>816</v>
      </c>
    </row>
    <row r="6" spans="1:14" ht="21.75" customHeight="1" thickBot="1">
      <c r="A6" s="1358"/>
      <c r="B6" s="939"/>
      <c r="C6" s="1361"/>
      <c r="D6" s="1362"/>
      <c r="E6" s="1361"/>
      <c r="F6" s="1362"/>
      <c r="G6" s="1361"/>
      <c r="H6" s="1362"/>
      <c r="I6" s="1361"/>
      <c r="J6" s="1362"/>
      <c r="K6" s="1367"/>
      <c r="L6" s="1351"/>
      <c r="M6" s="1351"/>
      <c r="N6" s="1354"/>
    </row>
    <row r="7" spans="1:14" ht="38.25" customHeight="1" thickTop="1" thickBot="1">
      <c r="A7" s="404" t="s">
        <v>811</v>
      </c>
      <c r="B7" s="405" t="s">
        <v>130</v>
      </c>
      <c r="C7" s="406" t="s">
        <v>5</v>
      </c>
      <c r="D7" s="407" t="s">
        <v>6</v>
      </c>
      <c r="E7" s="406" t="s">
        <v>5</v>
      </c>
      <c r="F7" s="407" t="s">
        <v>6</v>
      </c>
      <c r="G7" s="406" t="s">
        <v>5</v>
      </c>
      <c r="H7" s="407" t="s">
        <v>6</v>
      </c>
      <c r="I7" s="406" t="s">
        <v>5</v>
      </c>
      <c r="J7" s="407" t="s">
        <v>6</v>
      </c>
      <c r="K7" s="1368"/>
      <c r="L7" s="1352"/>
      <c r="M7" s="1352"/>
      <c r="N7" s="1355"/>
    </row>
    <row r="8" spans="1:14">
      <c r="A8" s="408" t="str">
        <f>Datos!A8</f>
        <v>Jurisdicción Civil ( 1 ):</v>
      </c>
      <c r="B8" s="409"/>
      <c r="C8" s="410"/>
      <c r="D8" s="411"/>
      <c r="E8" s="410"/>
      <c r="F8" s="411"/>
      <c r="G8" s="410"/>
      <c r="H8" s="411"/>
      <c r="I8" s="410"/>
      <c r="J8" s="411"/>
      <c r="K8" s="413"/>
      <c r="L8" s="1265"/>
      <c r="M8" s="413"/>
      <c r="N8" s="413"/>
    </row>
    <row r="9" spans="1:14">
      <c r="A9" s="414" t="str">
        <f>Datos!A9</f>
        <v xml:space="preserve">Jdos. 1ª Instancia   </v>
      </c>
      <c r="B9" s="415">
        <f>Datos!AO9</f>
        <v>0</v>
      </c>
      <c r="C9" s="415" t="str">
        <f>IF(ISNUMBER(IF(J_V="SI",Datos!I9,Datos!I9+Datos!Y9)),IF(J_V="SI",Datos!I9,Datos!I9+Datos!Y9)," - ")</f>
        <v xml:space="preserve"> - </v>
      </c>
      <c r="D9" s="416" t="str">
        <f>IF(ISNUMBER(C9/Datos!BH9),C9/Datos!BH9," - ")</f>
        <v xml:space="preserve"> - </v>
      </c>
      <c r="E9" s="415" t="str">
        <f>IF(ISNUMBER(IF(J_V="SI",Datos!J9,Datos!J9+Datos!Z9)),IF(J_V="SI",Datos!J9,Datos!J9+Datos!Z9)," - ")</f>
        <v xml:space="preserve"> - </v>
      </c>
      <c r="F9" s="416" t="str">
        <f>IF(ISNUMBER(E9/B9),E9/B9," - ")</f>
        <v xml:space="preserve"> - </v>
      </c>
      <c r="G9" s="415" t="str">
        <f>IF(ISNUMBER(IF(J_V="SI",Datos!K9,Datos!K9+Datos!AA9)),IF(J_V="SI",Datos!K9,Datos!K9+Datos!AA9)," - ")</f>
        <v xml:space="preserve"> - </v>
      </c>
      <c r="H9" s="416" t="str">
        <f>IF(ISNUMBER(G9/B9),G9/B9," - ")</f>
        <v xml:space="preserve"> - </v>
      </c>
      <c r="I9" s="415" t="str">
        <f>IF(ISNUMBER(IF(J_V="SI",Datos!L9,Datos!L9+Datos!AB9)),IF(J_V="SI",Datos!L9,Datos!L9+Datos!AB9)," - ")</f>
        <v xml:space="preserve"> - </v>
      </c>
      <c r="J9" s="416" t="str">
        <f>IF(ISNUMBER(I9/B9),I9/B9," - ")</f>
        <v xml:space="preserve"> - </v>
      </c>
      <c r="K9" s="417" t="str">
        <f>IF(ISNUMBER(Datos!EO9),Datos!EO9," - ")</f>
        <v xml:space="preserve"> - </v>
      </c>
      <c r="L9" s="1265" t="e">
        <f>K9*factor_trimestre/Datos!ER9</f>
        <v>#VALUE!</v>
      </c>
      <c r="M9" s="417" t="str">
        <f>IF(ISNUMBER(Datos!EP9),Datos!EP9," - ")</f>
        <v xml:space="preserve"> - </v>
      </c>
      <c r="N9" s="417" t="str">
        <f>IF(ISNUMBER(Datos!EQ9),Datos!EQ9," - ")</f>
        <v xml:space="preserve"> - </v>
      </c>
    </row>
    <row r="10" spans="1:14">
      <c r="A10" s="414" t="str">
        <f>Datos!A10</f>
        <v>Jdos. Violencia contra la mujer</v>
      </c>
      <c r="B10" s="415">
        <f>Datos!AO10</f>
        <v>1</v>
      </c>
      <c r="C10" s="415">
        <f>IF(ISNUMBER(Datos!I10),Datos!I10," - ")</f>
        <v>1</v>
      </c>
      <c r="D10" s="416">
        <f>IF(ISNUMBER(C10/Datos!BH10),C10/Datos!BH10," - ")</f>
        <v>1</v>
      </c>
      <c r="E10" s="415">
        <f>IF(ISNUMBER(Datos!J10),Datos!J10," - ")</f>
        <v>2</v>
      </c>
      <c r="F10" s="416">
        <f>IF(ISNUMBER(E10/B10),E10/B10," - ")</f>
        <v>2</v>
      </c>
      <c r="G10" s="415">
        <f>IF(ISNUMBER(Datos!K10),Datos!K10," - ")</f>
        <v>1</v>
      </c>
      <c r="H10" s="416">
        <f>IF(ISNUMBER(G10/B10),G10/B10," - ")</f>
        <v>1</v>
      </c>
      <c r="I10" s="415">
        <f>IF(ISNUMBER(Datos!L10),Datos!L10," - ")</f>
        <v>2</v>
      </c>
      <c r="J10" s="416">
        <f>IF(ISNUMBER(I10/B10),I10/B10," - ")</f>
        <v>2</v>
      </c>
      <c r="K10" s="417" t="str">
        <f>IF(ISNUMBER(Datos!EO10),Datos!EO10," - ")</f>
        <v xml:space="preserve"> - </v>
      </c>
      <c r="L10" s="1265" t="e">
        <f>K10*factor_trimestre/Datos!ER10</f>
        <v>#VALUE!</v>
      </c>
      <c r="M10" s="417" t="str">
        <f>IF(ISNUMBER(Datos!EP10),Datos!EP10," - ")</f>
        <v xml:space="preserve"> - </v>
      </c>
      <c r="N10" s="417" t="str">
        <f>IF(ISNUMBER(Datos!EQ10),Datos!EQ10," - ")</f>
        <v xml:space="preserve"> - </v>
      </c>
    </row>
    <row r="11" spans="1:14">
      <c r="A11" s="414" t="str">
        <f>Datos!A11</f>
        <v xml:space="preserve">Jdos. Familia                                   </v>
      </c>
      <c r="B11" s="415">
        <f>Datos!AO11</f>
        <v>0</v>
      </c>
      <c r="C11" s="415" t="str">
        <f>IF(ISNUMBER(IF(J_V="SI",Datos!I11,Datos!I11+Datos!Y11)),IF(J_V="SI",Datos!I11,Datos!I11+Datos!Y11)," - ")</f>
        <v xml:space="preserve"> - </v>
      </c>
      <c r="D11" s="416" t="str">
        <f>IF(ISNUMBER(C11/Datos!BH11),C11/Datos!BH11," - ")</f>
        <v xml:space="preserve"> - </v>
      </c>
      <c r="E11" s="415" t="str">
        <f>IF(ISNUMBER(IF(J_V="SI",Datos!J11,Datos!J11+Datos!Z11)),IF(J_V="SI",Datos!J11,Datos!J11+Datos!Z11)," - ")</f>
        <v xml:space="preserve"> - </v>
      </c>
      <c r="F11" s="416" t="str">
        <f>IF(ISNUMBER(E11/B11),E11/B11," - ")</f>
        <v xml:space="preserve"> - </v>
      </c>
      <c r="G11" s="415" t="str">
        <f>IF(ISNUMBER(IF(J_V="SI",Datos!K11,Datos!K11+Datos!AA11)),IF(J_V="SI",Datos!K11,Datos!K11+Datos!AA11)," - ")</f>
        <v xml:space="preserve"> - </v>
      </c>
      <c r="H11" s="416" t="str">
        <f>IF(ISNUMBER(G11/B11),G11/B11," - ")</f>
        <v xml:space="preserve"> - </v>
      </c>
      <c r="I11" s="415" t="str">
        <f>IF(ISNUMBER(IF(J_V="SI",Datos!L11,Datos!L11+Datos!AB11)),IF(J_V="SI",Datos!L11,Datos!L11+Datos!AB11)," - ")</f>
        <v xml:space="preserve"> - </v>
      </c>
      <c r="J11" s="416" t="str">
        <f>IF(ISNUMBER(I11/B11),I11/B11," - ")</f>
        <v xml:space="preserve"> - </v>
      </c>
      <c r="K11" s="417" t="str">
        <f>IF(ISNUMBER(Datos!EO11),Datos!EO11," - ")</f>
        <v xml:space="preserve"> - </v>
      </c>
      <c r="L11" s="1265" t="e">
        <f>K11*factor_trimestre/Datos!ER11</f>
        <v>#VALUE!</v>
      </c>
      <c r="M11" s="417" t="str">
        <f>IF(ISNUMBER(Datos!EP11),Datos!EP11," - ")</f>
        <v xml:space="preserve"> - </v>
      </c>
      <c r="N11" s="417" t="str">
        <f>IF(ISNUMBER(Datos!EQ11),Datos!EQ11," - ")</f>
        <v xml:space="preserve"> - </v>
      </c>
    </row>
    <row r="12" spans="1:14">
      <c r="A12" s="414" t="str">
        <f>Datos!A12</f>
        <v xml:space="preserve">Jdos. 1ª Instª. e Instr.                        </v>
      </c>
      <c r="B12" s="415">
        <f>Datos!AO12</f>
        <v>2</v>
      </c>
      <c r="C12" s="415">
        <f>IF(ISNUMBER(IF(J_V="SI",Datos!I12,Datos!I12+Datos!Y12)),IF(J_V="SI",Datos!I12,Datos!I12+Datos!Y12)," - ")</f>
        <v>1035</v>
      </c>
      <c r="D12" s="416">
        <f>IF(ISNUMBER(C12/Datos!BH12),C12/Datos!BH12," - ")</f>
        <v>517.5</v>
      </c>
      <c r="E12" s="415">
        <f>IF(ISNUMBER(IF(J_V="SI",Datos!J12,Datos!J12+Datos!Z12)),IF(J_V="SI",Datos!J12,Datos!J12+Datos!Z12)," - ")</f>
        <v>355</v>
      </c>
      <c r="F12" s="416">
        <f>IF(ISNUMBER(E12/B12),E12/B12," - ")</f>
        <v>177.5</v>
      </c>
      <c r="G12" s="415">
        <f>IF(ISNUMBER(IF(J_V="SI",Datos!K12,Datos!K12+Datos!AA12)),IF(J_V="SI",Datos!K12,Datos!K12+Datos!AA12)," - ")</f>
        <v>314</v>
      </c>
      <c r="H12" s="416">
        <f>IF(ISNUMBER(G12/B12),G12/B12," - ")</f>
        <v>157</v>
      </c>
      <c r="I12" s="415">
        <f>IF(ISNUMBER(IF(J_V="SI",Datos!L12,Datos!L12+Datos!AB12)),IF(J_V="SI",Datos!L12,Datos!L12+Datos!AB12)," - ")</f>
        <v>1076</v>
      </c>
      <c r="J12" s="416">
        <f>IF(ISNUMBER(I12/B12),I12/B12," - ")</f>
        <v>538</v>
      </c>
      <c r="K12" s="417" t="str">
        <f>IF(ISNUMBER(Datos!EO12),Datos!EO12," - ")</f>
        <v xml:space="preserve"> - </v>
      </c>
      <c r="L12" s="1265" t="e">
        <f>K12*factor_trimestre/Datos!ER12</f>
        <v>#VALUE!</v>
      </c>
      <c r="M12" s="417" t="str">
        <f>IF(ISNUMBER(Datos!EP12),Datos!EP12," - ")</f>
        <v xml:space="preserve"> - </v>
      </c>
      <c r="N12" s="417" t="str">
        <f>IF(ISNUMBER(Datos!EQ12),Datos!EQ12," - ")</f>
        <v xml:space="preserve"> - </v>
      </c>
    </row>
    <row r="13" spans="1:14" ht="13.5" thickBot="1">
      <c r="A13" s="414" t="str">
        <f>Datos!A13</f>
        <v xml:space="preserve">Jdos. de Menores    </v>
      </c>
      <c r="B13" s="415">
        <f>Datos!AO13</f>
        <v>0</v>
      </c>
      <c r="C13" s="415" t="str">
        <f>IF(ISNUMBER(Datos!I13),Datos!I13," - ")</f>
        <v xml:space="preserve"> - </v>
      </c>
      <c r="D13" s="416" t="str">
        <f>IF(ISNUMBER(C13/Datos!BH13),C13/Datos!BH13," - ")</f>
        <v xml:space="preserve"> - </v>
      </c>
      <c r="E13" s="415" t="str">
        <f>IF(ISNUMBER(Datos!J13),Datos!J13," - ")</f>
        <v xml:space="preserve"> - </v>
      </c>
      <c r="F13" s="416" t="str">
        <f>IF(ISNUMBER(E13/B13),E13/B13," - ")</f>
        <v xml:space="preserve"> - </v>
      </c>
      <c r="G13" s="415" t="str">
        <f>IF(ISNUMBER(Datos!K13),Datos!K13," - ")</f>
        <v xml:space="preserve"> - </v>
      </c>
      <c r="H13" s="416" t="str">
        <f>IF(ISNUMBER(G13/B13),G13/B13," - ")</f>
        <v xml:space="preserve"> - </v>
      </c>
      <c r="I13" s="415" t="str">
        <f>IF(ISNUMBER(Datos!L13),Datos!L13," - ")</f>
        <v xml:space="preserve"> - </v>
      </c>
      <c r="J13" s="416" t="str">
        <f>IF(ISNUMBER(I13/B13),I13/B13," - ")</f>
        <v xml:space="preserve"> - </v>
      </c>
      <c r="K13" s="417" t="str">
        <f>IF(ISNUMBER(Datos!EO13),Datos!EO13," - ")</f>
        <v xml:space="preserve"> - </v>
      </c>
      <c r="L13" s="1265" t="e">
        <f>K13*factor_trimestre/Datos!ER13</f>
        <v>#VALUE!</v>
      </c>
      <c r="M13" s="417" t="str">
        <f>IF(ISNUMBER(Datos!EP13),Datos!EP13," - ")</f>
        <v xml:space="preserve"> - </v>
      </c>
      <c r="N13" s="417" t="str">
        <f>IF(ISNUMBER(Datos!EQ13),Datos!EQ13," - ")</f>
        <v xml:space="preserve"> - </v>
      </c>
    </row>
    <row r="14" spans="1:14" ht="14.25" thickTop="1" thickBot="1">
      <c r="A14" s="995" t="str">
        <f>Datos!A14</f>
        <v>TOTAL</v>
      </c>
      <c r="B14" s="996">
        <f>Datos!AP14</f>
        <v>2</v>
      </c>
      <c r="C14" s="996">
        <f>SUBTOTAL(9,C8:C13)</f>
        <v>1036</v>
      </c>
      <c r="D14" s="997" t="str">
        <f>IF(ISNUMBER(C14/Datos!BI14),C14/Datos!BI14," - ")</f>
        <v xml:space="preserve"> - </v>
      </c>
      <c r="E14" s="996">
        <f>SUBTOTAL(9,E8:E13)</f>
        <v>357</v>
      </c>
      <c r="F14" s="997">
        <f>IF(ISNUMBER(E14/B14),E14/B14," - ")</f>
        <v>178.5</v>
      </c>
      <c r="G14" s="996">
        <f>SUBTOTAL(9,G8:G13)</f>
        <v>315</v>
      </c>
      <c r="H14" s="997">
        <f>IF(ISNUMBER(G14/B14),G14/B14," - ")</f>
        <v>157.5</v>
      </c>
      <c r="I14" s="996">
        <f>SUBTOTAL(9,I8:I13)</f>
        <v>1078</v>
      </c>
      <c r="J14" s="997">
        <f>IF(ISNUMBER(I14/B14),I14/B14," - ")</f>
        <v>539</v>
      </c>
      <c r="K14" s="995">
        <f t="shared" ref="K14" si="0">SUBTOTAL(9,K8:K13)</f>
        <v>0</v>
      </c>
      <c r="L14" s="1264"/>
      <c r="M14" s="995">
        <f>SUBTOTAL(9,M8:M13)</f>
        <v>0</v>
      </c>
      <c r="N14" s="995">
        <f>SUBTOTAL(9,N8:N13)</f>
        <v>0</v>
      </c>
    </row>
    <row r="15" spans="1:14" ht="13.5" thickTop="1">
      <c r="A15" s="408" t="str">
        <f>Datos!A15</f>
        <v xml:space="preserve">Jurisdicción Penal ( 2 ):                      </v>
      </c>
      <c r="B15" s="418"/>
      <c r="C15" s="418"/>
      <c r="D15" s="419"/>
      <c r="E15" s="418"/>
      <c r="F15" s="419"/>
      <c r="G15" s="418"/>
      <c r="H15" s="419"/>
      <c r="I15" s="418"/>
      <c r="J15" s="419"/>
      <c r="K15" s="418"/>
      <c r="L15" s="1265"/>
      <c r="M15" s="420"/>
      <c r="N15" s="421"/>
    </row>
    <row r="16" spans="1:14">
      <c r="A16" s="414" t="str">
        <f>Datos!A16</f>
        <v xml:space="preserve">Jdos. Instrucción                               </v>
      </c>
      <c r="B16" s="415">
        <f>Datos!AO16</f>
        <v>0</v>
      </c>
      <c r="C16" s="415" t="str">
        <f>IF(ISNUMBER(IF(D_I="SI",Datos!I16,Datos!I16+Datos!AC16)),IF(D_I="SI",Datos!I16,Datos!I16+Datos!AC16)," - ")</f>
        <v xml:space="preserve"> - </v>
      </c>
      <c r="D16" s="416" t="str">
        <f>IF(ISNUMBER(C16/Datos!BH16),C16/Datos!BH16," - ")</f>
        <v xml:space="preserve"> - </v>
      </c>
      <c r="E16" s="415" t="str">
        <f>IF(ISNUMBER(IF(D_I="SI",Datos!J16,Datos!J16+Datos!AD16)),IF(D_I="SI",Datos!J16,Datos!J16+Datos!AD16)," - ")</f>
        <v xml:space="preserve"> - </v>
      </c>
      <c r="F16" s="416" t="str">
        <f>IF(ISNUMBER(E16/B16),E16/B16," - ")</f>
        <v xml:space="preserve"> - </v>
      </c>
      <c r="G16" s="415" t="str">
        <f>IF(ISNUMBER(IF(D_I="SI",Datos!K16,Datos!K16+Datos!AE16)),IF(D_I="SI",Datos!K16,Datos!K16+Datos!AE16)," - ")</f>
        <v xml:space="preserve"> - </v>
      </c>
      <c r="H16" s="416" t="str">
        <f>IF(ISNUMBER(G16/B16),G16/B16," - ")</f>
        <v xml:space="preserve"> - </v>
      </c>
      <c r="I16" s="415" t="str">
        <f>IF(ISNUMBER(IF(D_I="SI",Datos!L16,Datos!L16+Datos!AF16)),IF(D_I="SI",Datos!L16,Datos!L16+Datos!AF16)," - ")</f>
        <v xml:space="preserve"> - </v>
      </c>
      <c r="J16" s="416" t="str">
        <f>IF(ISNUMBER(I16/B16),I16/B16," - ")</f>
        <v xml:space="preserve"> - </v>
      </c>
      <c r="K16" s="1262" t="str">
        <f>IF(ISNUMBER(Datos!EO16),Datos!EO16," - ")</f>
        <v xml:space="preserve"> - </v>
      </c>
      <c r="L16" s="1265" t="e">
        <f>K16*factor_trimestre/Datos!ER16</f>
        <v>#VALUE!</v>
      </c>
      <c r="M16" s="1263" t="str">
        <f>IF(ISNUMBER(Datos!EP16),Datos!EP16," - ")</f>
        <v xml:space="preserve"> - </v>
      </c>
      <c r="N16" s="417" t="str">
        <f>IF(ISNUMBER(Datos!EQ16),Datos!EQ16," - ")</f>
        <v xml:space="preserve"> - </v>
      </c>
    </row>
    <row r="17" spans="1:14">
      <c r="A17" s="414" t="str">
        <f>Datos!A17</f>
        <v xml:space="preserve">Jdos. 1ª Instª. e Instr.                        </v>
      </c>
      <c r="B17" s="415">
        <f>Datos!AO17</f>
        <v>2</v>
      </c>
      <c r="C17" s="415">
        <f>IF(ISNUMBER(IF(D_I="SI",Datos!I17,Datos!I17+Datos!AC17)),IF(D_I="SI",Datos!I17,Datos!I17+Datos!AC17)," - ")</f>
        <v>224</v>
      </c>
      <c r="D17" s="416">
        <f>IF(ISNUMBER(C17/Datos!BH17),C17/Datos!BH17," - ")</f>
        <v>112</v>
      </c>
      <c r="E17" s="415">
        <f>IF(ISNUMBER(IF(D_I="SI",Datos!J17,Datos!J17+Datos!AD17)),IF(D_I="SI",Datos!J17,Datos!J17+Datos!AD17)," - ")</f>
        <v>622</v>
      </c>
      <c r="F17" s="416">
        <f>IF(ISNUMBER(E17/B17),E17/B17," - ")</f>
        <v>311</v>
      </c>
      <c r="G17" s="415">
        <f>IF(ISNUMBER(IF(D_I="SI",Datos!K17,Datos!K17+Datos!AE17)),IF(D_I="SI",Datos!K17,Datos!K17+Datos!AE17)," - ")</f>
        <v>606</v>
      </c>
      <c r="H17" s="416">
        <f>IF(ISNUMBER(G17/B17),G17/B17," - ")</f>
        <v>303</v>
      </c>
      <c r="I17" s="415">
        <f>IF(ISNUMBER(IF(D_I="SI",Datos!L17,Datos!L17+Datos!AF17)),IF(D_I="SI",Datos!L17,Datos!L17+Datos!AF17)," - ")</f>
        <v>250</v>
      </c>
      <c r="J17" s="416">
        <f>IF(ISNUMBER(I17/B17),I17/B17," - ")</f>
        <v>125</v>
      </c>
      <c r="K17" s="1262" t="str">
        <f>IF(ISNUMBER(Datos!EO17),Datos!EO17," - ")</f>
        <v xml:space="preserve"> - </v>
      </c>
      <c r="L17" s="1265" t="e">
        <f>K17*factor_trimestre/Datos!ER17</f>
        <v>#VALUE!</v>
      </c>
      <c r="M17" s="1263" t="str">
        <f>IF(ISNUMBER(Datos!EP17),Datos!EP17," - ")</f>
        <v xml:space="preserve"> - </v>
      </c>
      <c r="N17" s="417" t="str">
        <f>IF(ISNUMBER(Datos!EQ17),Datos!EQ17," - ")</f>
        <v xml:space="preserve"> - </v>
      </c>
    </row>
    <row r="18" spans="1:14">
      <c r="A18" s="414" t="str">
        <f>Datos!A18</f>
        <v>Jdos. Violencia contra la mujer</v>
      </c>
      <c r="B18" s="415">
        <f>Datos!AO18</f>
        <v>1</v>
      </c>
      <c r="C18" s="415">
        <f>IF(ISNUMBER(IF(D_I="SI",Datos!I18,Datos!I18+Datos!AC18)),IF(D_I="SI",Datos!I18,Datos!I18+Datos!AC18)," - ")</f>
        <v>14</v>
      </c>
      <c r="D18" s="416">
        <f>IF(ISNUMBER(C18/Datos!BH18),C18/Datos!BH18," - ")</f>
        <v>14</v>
      </c>
      <c r="E18" s="415">
        <f>IF(ISNUMBER(IF(D_I="SI",Datos!J18,Datos!J18+Datos!AD18)),IF(D_I="SI",Datos!J18,Datos!J18+Datos!AD18)," - ")</f>
        <v>24</v>
      </c>
      <c r="F18" s="416">
        <f>IF(ISNUMBER(E18/B18),E18/B18," - ")</f>
        <v>24</v>
      </c>
      <c r="G18" s="415">
        <f>IF(ISNUMBER(IF(D_I="SI",Datos!K18,Datos!K18+Datos!AE18)),IF(D_I="SI",Datos!K18,Datos!K18+Datos!AE18)," - ")</f>
        <v>19</v>
      </c>
      <c r="H18" s="416">
        <f>IF(ISNUMBER(G18/B18),G18/B18," - ")</f>
        <v>19</v>
      </c>
      <c r="I18" s="415">
        <f>IF(ISNUMBER(IF(D_I="SI",Datos!L18,Datos!L18+Datos!AF18)),IF(D_I="SI",Datos!L18,Datos!L18+Datos!AF18)," - ")</f>
        <v>19</v>
      </c>
      <c r="J18" s="416">
        <f>IF(ISNUMBER(I18/B18),I18/B18," - ")</f>
        <v>19</v>
      </c>
      <c r="K18" s="1262" t="str">
        <f>IF(ISNUMBER(Datos!EO18),Datos!EO18," - ")</f>
        <v xml:space="preserve"> - </v>
      </c>
      <c r="L18" s="1265" t="e">
        <f>K18*factor_trimestre/Datos!ER18</f>
        <v>#VALUE!</v>
      </c>
      <c r="M18" s="1263" t="str">
        <f>IF(ISNUMBER(Datos!EP18),Datos!EP18," - ")</f>
        <v xml:space="preserve"> - </v>
      </c>
      <c r="N18" s="417" t="str">
        <f>IF(ISNUMBER(Datos!EQ18),Datos!EQ18," - ")</f>
        <v xml:space="preserve"> - </v>
      </c>
    </row>
    <row r="19" spans="1:14" ht="13.5" thickBot="1">
      <c r="A19" s="414" t="str">
        <f>Datos!A19</f>
        <v xml:space="preserve">Jdos. de Menores                                </v>
      </c>
      <c r="B19" s="415">
        <f>Datos!AO19</f>
        <v>0</v>
      </c>
      <c r="C19" s="415" t="str">
        <f>IF(ISNUMBER(Datos!I19),Datos!I19," - ")</f>
        <v xml:space="preserve"> - </v>
      </c>
      <c r="D19" s="416" t="str">
        <f>IF(ISNUMBER(C19/Datos!BH19),C19/Datos!BH19," - ")</f>
        <v xml:space="preserve"> - </v>
      </c>
      <c r="E19" s="415" t="str">
        <f>IF(ISNUMBER(Datos!J19),Datos!J19," - ")</f>
        <v xml:space="preserve"> - </v>
      </c>
      <c r="F19" s="416" t="str">
        <f>IF(ISNUMBER(E19/B19),E19/B19," - ")</f>
        <v xml:space="preserve"> - </v>
      </c>
      <c r="G19" s="415" t="str">
        <f>IF(ISNUMBER(Datos!K19),Datos!K19," - ")</f>
        <v xml:space="preserve"> - </v>
      </c>
      <c r="H19" s="416" t="str">
        <f>IF(ISNUMBER(G19/B19),G19/B19," - ")</f>
        <v xml:space="preserve"> - </v>
      </c>
      <c r="I19" s="415" t="str">
        <f>IF(ISNUMBER(Datos!L19),Datos!L19," - ")</f>
        <v xml:space="preserve"> - </v>
      </c>
      <c r="J19" s="416" t="str">
        <f>IF(ISNUMBER(I19/B19),I19/B19," - ")</f>
        <v xml:space="preserve"> - </v>
      </c>
      <c r="K19" s="1262" t="str">
        <f>IF(ISNUMBER(Datos!EO19),Datos!EO19," - ")</f>
        <v xml:space="preserve"> - </v>
      </c>
      <c r="L19" s="1265" t="e">
        <f>K19*factor_trimestre/Datos!ER19</f>
        <v>#VALUE!</v>
      </c>
      <c r="M19" s="1263" t="str">
        <f>IF(ISNUMBER(Datos!EP19),Datos!EP19," - ")</f>
        <v xml:space="preserve"> - </v>
      </c>
      <c r="N19" s="417" t="str">
        <f>IF(ISNUMBER(Datos!EQ19),Datos!EQ19," - ")</f>
        <v xml:space="preserve"> - </v>
      </c>
    </row>
    <row r="20" spans="1:14" ht="14.25" thickTop="1" thickBot="1">
      <c r="A20" s="995" t="str">
        <f>Datos!A20</f>
        <v>TOTAL</v>
      </c>
      <c r="B20" s="996">
        <f>Datos!AP20</f>
        <v>2</v>
      </c>
      <c r="C20" s="996">
        <f>SUBTOTAL(9,C15:C19)</f>
        <v>238</v>
      </c>
      <c r="D20" s="997" t="str">
        <f>IF(ISNUMBER(C20/Datos!BI20),C20/Datos!BI20," - ")</f>
        <v xml:space="preserve"> - </v>
      </c>
      <c r="E20" s="996">
        <f>SUBTOTAL(9,E15:E19)</f>
        <v>646</v>
      </c>
      <c r="F20" s="997">
        <f>IF(ISNUMBER(E20/B20),E20/B20," - ")</f>
        <v>323</v>
      </c>
      <c r="G20" s="996">
        <f>SUBTOTAL(9,G15:G19)</f>
        <v>625</v>
      </c>
      <c r="H20" s="997">
        <f>IF(ISNUMBER(G20/B20),G20/B20," - ")</f>
        <v>312.5</v>
      </c>
      <c r="I20" s="996">
        <f>SUBTOTAL(9,I15:I19)</f>
        <v>269</v>
      </c>
      <c r="J20" s="997">
        <f>IF(ISNUMBER(I20/B20),I20/B20," - ")</f>
        <v>134.5</v>
      </c>
      <c r="K20" s="995">
        <f t="shared" ref="K20" si="1">SUBTOTAL(9,K15:K19)</f>
        <v>0</v>
      </c>
      <c r="L20" s="995"/>
      <c r="M20" s="995">
        <f>SUBTOTAL(9,M15:M19)</f>
        <v>0</v>
      </c>
      <c r="N20" s="995">
        <f>SUBTOTAL(9,N15:N19)</f>
        <v>0</v>
      </c>
    </row>
    <row r="21" spans="1:14" ht="16.5" customHeight="1" thickTop="1" thickBot="1">
      <c r="A21" s="940" t="str">
        <f>Datos!A21</f>
        <v>TOTAL JURISDICCIONES</v>
      </c>
      <c r="B21" s="941">
        <f>Datos!AP21</f>
        <v>2</v>
      </c>
      <c r="C21" s="941">
        <f>SUBTOTAL(9,C9:C20)</f>
        <v>1274</v>
      </c>
      <c r="D21" s="942" t="str">
        <f>IF(ISNUMBER(C21/Datos!BI21),C21/Datos!BI21," - ")</f>
        <v xml:space="preserve"> - </v>
      </c>
      <c r="E21" s="941">
        <f>SUBTOTAL(9,E9:E20)</f>
        <v>1003</v>
      </c>
      <c r="F21" s="942">
        <f>IF(ISNUMBER(E21/B21),E21/B21," - ")</f>
        <v>501.5</v>
      </c>
      <c r="G21" s="941">
        <f>SUBTOTAL(9,G9:G20)</f>
        <v>940</v>
      </c>
      <c r="H21" s="942">
        <f>IF(ISNUMBER(G21/B21),G21/B21," - ")</f>
        <v>470</v>
      </c>
      <c r="I21" s="941">
        <f>SUBTOTAL(9,I9:I20)</f>
        <v>1347</v>
      </c>
      <c r="J21" s="942">
        <f>IF(ISNUMBER(I21/B21),I21/B21," - ")</f>
        <v>673.5</v>
      </c>
      <c r="K21" s="943">
        <f t="shared" ref="K21" si="2">SUBTOTAL(9,K9:K20)</f>
        <v>0</v>
      </c>
      <c r="L21" s="943"/>
      <c r="M21" s="943">
        <f>SUBTOTAL(9,M9:M20)</f>
        <v>0</v>
      </c>
      <c r="N21" s="943">
        <f>SUBTOTAL(9,N9:N20)</f>
        <v>0</v>
      </c>
    </row>
    <row r="22" spans="1:14">
      <c r="A22" s="423" t="str">
        <f>IF(J_V="NO","(1) Incluida Jurisdicción Voluntaria","(1) Excluída Jurisdicción Voluntaria")</f>
        <v>(1) Incluida Jurisdicción Voluntaria</v>
      </c>
      <c r="B22" s="424"/>
    </row>
    <row r="23" spans="1:14">
      <c r="A23" s="423" t="str">
        <f>IF(D_I="NO","(2) Incluídas Diligencias Indeterminadas","(2) Excluídas Diligencias Indeterminadas")</f>
        <v>(2) Excluídas Diligencias Indeterminadas</v>
      </c>
      <c r="B23" s="423"/>
    </row>
    <row r="24" spans="1:14">
      <c r="A24" s="1356"/>
      <c r="B24" s="1356"/>
    </row>
    <row r="25" spans="1:14">
      <c r="A25" s="403" t="str">
        <f>Criterios!A4</f>
        <v>Fecha Informe: 06 jun. 2023</v>
      </c>
    </row>
    <row r="29" spans="1:14">
      <c r="A29" s="426"/>
    </row>
  </sheetData>
  <sheetProtection algorithmName="SHA-512" hashValue="aIau244LnIWS3ffCQikVPJxpAEw5f3T2MnsDaGhJ5fWD48ojQQFds4apl3bPaFBIdGAG/tGtL7cqsfFcAq3+gQ==" saltValue="sdykYM68h+znamkx+M/MCg==" spinCount="100000" sheet="1" objects="1" scenarios="1"/>
  <mergeCells count="10">
    <mergeCell ref="M5:M7"/>
    <mergeCell ref="N5:N7"/>
    <mergeCell ref="A24:B2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4"/>
  <sheetViews>
    <sheetView topLeftCell="AR13"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 style="754" customWidth="1"/>
    <col min="9" max="9" width="14.42578125" style="755" customWidth="1"/>
    <col min="10" max="11" width="14.28515625" style="754" customWidth="1"/>
    <col min="12" max="13" width="14.28515625" style="756" customWidth="1"/>
    <col min="14" max="15" width="14.7109375" style="754" customWidth="1"/>
    <col min="16" max="16" width="14.28515625" style="754" customWidth="1"/>
    <col min="17" max="18" width="14.28515625" style="757" customWidth="1"/>
    <col min="19" max="20" width="14.28515625" style="754" customWidth="1"/>
    <col min="21" max="22" width="14.28515625" style="757" customWidth="1"/>
    <col min="23" max="24" width="14.140625" style="754" customWidth="1"/>
    <col min="25" max="25" width="14.28515625" style="927" customWidth="1"/>
    <col min="26" max="26" width="12.85546875" style="754" customWidth="1"/>
    <col min="27" max="27" width="14.28515625" style="757" customWidth="1"/>
    <col min="28" max="29" width="14.85546875" style="754" customWidth="1"/>
    <col min="30" max="31" width="16.28515625" style="754" customWidth="1"/>
    <col min="32" max="33" width="14.28515625" style="754" customWidth="1"/>
    <col min="34" max="35" width="16.28515625" style="754" customWidth="1"/>
    <col min="36" max="36" width="12.5703125" style="754" customWidth="1"/>
    <col min="37" max="37" width="13" style="754" customWidth="1"/>
    <col min="38" max="39" width="12.85546875" style="754" customWidth="1"/>
    <col min="40" max="41" width="11.42578125" style="754"/>
    <col min="42" max="43" width="12.28515625" style="753" customWidth="1"/>
    <col min="44" max="45" width="16.140625" style="757" customWidth="1"/>
    <col min="46" max="49" width="14.5703125" style="754" customWidth="1"/>
    <col min="50" max="51" width="13.42578125" style="754" customWidth="1"/>
    <col min="52" max="53" width="14.85546875" style="754" customWidth="1"/>
    <col min="54" max="54" width="14.85546875" style="758" customWidth="1"/>
    <col min="55" max="56" width="14.42578125" hidden="1" customWidth="1"/>
    <col min="57" max="57" width="15.85546875" style="754" hidden="1" customWidth="1"/>
    <col min="58" max="65" width="11.42578125" style="754" hidden="1" customWidth="1"/>
    <col min="66" max="16384" width="11.42578125" style="754"/>
  </cols>
  <sheetData>
    <row r="1" spans="1:65">
      <c r="C1" s="752" t="str">
        <f>Criterios!A9 &amp;"  "&amp;Criterios!B9</f>
        <v>Tribunales de Justicia  ANDALUCIA</v>
      </c>
      <c r="F1" s="753"/>
      <c r="W1"/>
      <c r="X1"/>
      <c r="BE1" s="753"/>
    </row>
    <row r="2" spans="1:65" ht="16.5" customHeight="1">
      <c r="C2" s="521" t="str">
        <f>Criterios!A10 &amp;"  "&amp;Criterios!B10 &amp; "  " &amp; IF(NOT(ISBLANK(Criterios!A11)),Criterios!A11 &amp;"  "&amp;Criterios!B11,"")</f>
        <v>Provincias  CORDOBA  Resumenes por Partidos Judiciales  PUENTE GENIL</v>
      </c>
      <c r="D2" s="759"/>
      <c r="E2" s="760"/>
      <c r="F2" s="761"/>
      <c r="G2" s="762"/>
      <c r="H2" s="763"/>
      <c r="I2" s="764"/>
      <c r="J2" s="763"/>
      <c r="K2" s="763"/>
      <c r="L2" s="765"/>
      <c r="M2" s="765"/>
      <c r="N2" s="763"/>
      <c r="O2" s="763"/>
      <c r="S2" s="763"/>
      <c r="T2" s="763"/>
      <c r="U2" s="766"/>
      <c r="V2" s="766"/>
      <c r="W2" s="763"/>
      <c r="X2" s="763"/>
      <c r="Y2" s="928"/>
      <c r="BC2" s="339"/>
      <c r="BD2" s="339"/>
      <c r="BE2" s="761"/>
    </row>
    <row r="3" spans="1:65" ht="16.5" customHeight="1">
      <c r="C3" s="768"/>
      <c r="D3" s="769"/>
      <c r="F3" s="753"/>
      <c r="G3" s="770"/>
      <c r="H3" s="767"/>
      <c r="W3"/>
      <c r="X3"/>
      <c r="BE3" s="753"/>
    </row>
    <row r="4" spans="1:65" ht="16.5" customHeight="1" thickBot="1">
      <c r="C4" s="768"/>
      <c r="D4" s="771"/>
      <c r="E4" s="772"/>
      <c r="F4" s="772"/>
      <c r="G4" s="772"/>
      <c r="H4" s="773"/>
      <c r="I4" s="774"/>
      <c r="J4" s="772"/>
      <c r="K4" s="772"/>
      <c r="L4" s="775"/>
      <c r="M4" s="773"/>
      <c r="N4" s="772"/>
      <c r="O4" s="772"/>
      <c r="P4" s="773"/>
      <c r="Q4" s="766"/>
      <c r="R4" s="776"/>
      <c r="S4" s="773"/>
      <c r="T4" s="773"/>
      <c r="U4" s="772"/>
      <c r="V4" s="772"/>
      <c r="W4" s="773"/>
      <c r="X4" s="773"/>
      <c r="Y4" s="929"/>
      <c r="Z4" s="773"/>
      <c r="AA4" s="772"/>
      <c r="AB4" s="773"/>
      <c r="AC4" s="773"/>
      <c r="AD4" s="772"/>
      <c r="AE4" s="772"/>
      <c r="AF4" s="773"/>
      <c r="AG4" s="773"/>
      <c r="AH4" s="773"/>
      <c r="AI4" s="773"/>
      <c r="AJ4" s="772"/>
      <c r="AK4" s="772"/>
      <c r="AL4" s="772"/>
      <c r="AM4" s="773"/>
      <c r="AN4" s="772"/>
      <c r="AO4" s="773"/>
      <c r="AP4" s="772"/>
      <c r="AQ4" s="772"/>
      <c r="AR4" s="773"/>
      <c r="AS4" s="773"/>
      <c r="AT4" s="773"/>
      <c r="AU4" s="773"/>
      <c r="AV4" s="772"/>
      <c r="AW4" s="772"/>
      <c r="AX4" s="773"/>
      <c r="AY4" s="773"/>
      <c r="AZ4" s="773"/>
      <c r="BA4" s="773"/>
      <c r="BB4" s="772"/>
      <c r="BC4" s="338"/>
      <c r="BD4" s="338"/>
      <c r="BE4" s="772"/>
    </row>
    <row r="5" spans="1:65" ht="15.75" customHeight="1">
      <c r="A5" s="1424" t="s">
        <v>391</v>
      </c>
      <c r="B5" s="277"/>
      <c r="C5" s="1424" t="str">
        <f>"Año:  " &amp;Criterios!B$5 &amp; "          Trimestre   " &amp;Criterios!D$5 &amp; " al " &amp;Criterios!D$6</f>
        <v>Año:  2023          Trimestre   1 al 1</v>
      </c>
      <c r="D5" s="1660" t="s">
        <v>466</v>
      </c>
      <c r="E5" s="1660" t="s">
        <v>621</v>
      </c>
      <c r="F5" s="1671" t="s">
        <v>448</v>
      </c>
      <c r="G5" s="1660" t="s">
        <v>141</v>
      </c>
      <c r="H5" s="1660" t="s">
        <v>760</v>
      </c>
      <c r="I5" s="1660" t="s">
        <v>761</v>
      </c>
      <c r="J5" s="1660" t="s">
        <v>764</v>
      </c>
      <c r="K5" s="1660" t="s">
        <v>765</v>
      </c>
      <c r="L5" s="1660" t="s">
        <v>649</v>
      </c>
      <c r="M5" s="1660" t="s">
        <v>786</v>
      </c>
      <c r="N5" s="1660" t="s">
        <v>766</v>
      </c>
      <c r="O5" s="1660" t="s">
        <v>762</v>
      </c>
      <c r="P5" s="1660" t="s">
        <v>190</v>
      </c>
      <c r="Q5" s="1660" t="s">
        <v>743</v>
      </c>
      <c r="R5" s="1660" t="s">
        <v>787</v>
      </c>
      <c r="S5" s="1660" t="str">
        <f>"Ingreso Computable 2003" &amp; IF(OR(EXACT(LEFT(boletin,2),"04"),EXACT(LEFT(boletin,2),"14"),EXACT(LEFT(boletin,2),"17"))," (Civil + Penal)","")</f>
        <v>Ingreso Computable 2003</v>
      </c>
      <c r="T5" s="1660" t="s">
        <v>763</v>
      </c>
      <c r="U5" s="1666" t="str">
        <f>"% Ingreso Computable 2003" &amp; IF(OR(EXACT(LEFT(boletin,2),"04"),EXACT(LEFT(boletin,2),"14"),EXACT(LEFT(boletin,2),"17"))," (Civil + Penal)","")</f>
        <v>% Ingreso Computable 2003</v>
      </c>
      <c r="V5" s="1666" t="s">
        <v>767</v>
      </c>
      <c r="W5" s="1660" t="s">
        <v>836</v>
      </c>
      <c r="X5" s="1660" t="s">
        <v>837</v>
      </c>
      <c r="Y5" s="1680" t="s">
        <v>734</v>
      </c>
      <c r="Z5" s="1717" t="str">
        <f>"RESOLUCION Nº  H/P" &amp; IF(OR(EXACT(LEFT(boletin,2),"04"),EXACT(LEFT(boletin,2),"14"),EXACT(LEFT(boletin,2),"17"))," (Civil + Penal)","")</f>
        <v>RESOLUCION Nº  H/P</v>
      </c>
      <c r="AA5" s="1720" t="str">
        <f>" % S/Iindicador  De  Resolución (Horas punto)" &amp; IF(OR(EXACT(LEFT(boletin,2),"04"),EXACT(LEFT(boletin,2),"14"),EXACT(LEFT(boletin,2),"17"))," (Civil + Penal)","")</f>
        <v xml:space="preserve"> % S/Iindicador  De  Resolución (Horas punto)</v>
      </c>
      <c r="AB5" s="1717" t="s">
        <v>768</v>
      </c>
      <c r="AC5" s="1717" t="s">
        <v>769</v>
      </c>
      <c r="AD5" s="1717" t="s">
        <v>770</v>
      </c>
      <c r="AE5" s="1717" t="s">
        <v>771</v>
      </c>
      <c r="AF5" s="1660" t="s">
        <v>772</v>
      </c>
      <c r="AG5" s="1660" t="s">
        <v>773</v>
      </c>
      <c r="AH5" s="1660" t="s">
        <v>774</v>
      </c>
      <c r="AI5" s="1660" t="s">
        <v>775</v>
      </c>
      <c r="AJ5" s="1660" t="s">
        <v>204</v>
      </c>
      <c r="AK5" s="1689" t="s">
        <v>600</v>
      </c>
      <c r="AL5" s="1689" t="s">
        <v>205</v>
      </c>
      <c r="AM5" s="1660" t="s">
        <v>631</v>
      </c>
      <c r="AN5" s="1660" t="s">
        <v>274</v>
      </c>
      <c r="AO5" s="1660" t="s">
        <v>275</v>
      </c>
      <c r="AP5" s="1660" t="s">
        <v>776</v>
      </c>
      <c r="AQ5" s="1660" t="s">
        <v>777</v>
      </c>
      <c r="AR5" s="1660" t="s">
        <v>778</v>
      </c>
      <c r="AS5" s="1660" t="s">
        <v>779</v>
      </c>
      <c r="AT5" s="1660" t="s">
        <v>780</v>
      </c>
      <c r="AU5" s="1660" t="s">
        <v>781</v>
      </c>
      <c r="AV5" s="1660" t="s">
        <v>782</v>
      </c>
      <c r="AW5" s="1660" t="s">
        <v>783</v>
      </c>
      <c r="AX5" s="1660" t="s">
        <v>915</v>
      </c>
      <c r="AY5" s="1660" t="s">
        <v>918</v>
      </c>
      <c r="AZ5" s="1660" t="s">
        <v>784</v>
      </c>
      <c r="BA5" s="1660" t="s">
        <v>785</v>
      </c>
      <c r="BB5" s="1660" t="s">
        <v>599</v>
      </c>
      <c r="BC5" s="1486" t="s">
        <v>792</v>
      </c>
      <c r="BD5" s="1486" t="s">
        <v>793</v>
      </c>
      <c r="BE5" s="1671" t="s">
        <v>794</v>
      </c>
      <c r="BF5" s="1725"/>
      <c r="BG5" s="1726"/>
      <c r="BH5" s="1725"/>
      <c r="BI5" s="1726"/>
      <c r="BJ5" s="1725"/>
      <c r="BK5" s="1726"/>
      <c r="BL5" s="1725"/>
      <c r="BM5" s="1726"/>
    </row>
    <row r="6" spans="1:65" ht="21.75" customHeight="1">
      <c r="A6" s="1714"/>
      <c r="B6" s="777"/>
      <c r="C6" s="1716"/>
      <c r="D6" s="1661"/>
      <c r="E6" s="1661"/>
      <c r="F6" s="1672"/>
      <c r="G6" s="1661"/>
      <c r="H6" s="1661"/>
      <c r="I6" s="1661"/>
      <c r="J6" s="1661"/>
      <c r="K6" s="1661"/>
      <c r="L6" s="1661"/>
      <c r="M6" s="1661"/>
      <c r="N6" s="1661"/>
      <c r="O6" s="1661"/>
      <c r="P6" s="1661"/>
      <c r="Q6" s="1661"/>
      <c r="R6" s="1661"/>
      <c r="S6" s="1661"/>
      <c r="T6" s="1661"/>
      <c r="U6" s="1667"/>
      <c r="V6" s="1667"/>
      <c r="W6" s="1661"/>
      <c r="X6" s="1661"/>
      <c r="Y6" s="1681"/>
      <c r="Z6" s="1718"/>
      <c r="AA6" s="1721"/>
      <c r="AB6" s="1718"/>
      <c r="AC6" s="1718"/>
      <c r="AD6" s="1718"/>
      <c r="AE6" s="1718"/>
      <c r="AF6" s="1661"/>
      <c r="AG6" s="1661"/>
      <c r="AH6" s="1661"/>
      <c r="AI6" s="1661"/>
      <c r="AJ6" s="1661"/>
      <c r="AK6" s="1690"/>
      <c r="AL6" s="1690"/>
      <c r="AM6" s="1661"/>
      <c r="AN6" s="1661"/>
      <c r="AO6" s="1661"/>
      <c r="AP6" s="1661"/>
      <c r="AQ6" s="1661"/>
      <c r="AR6" s="1661"/>
      <c r="AS6" s="1661"/>
      <c r="AT6" s="1661"/>
      <c r="AU6" s="1661"/>
      <c r="AV6" s="1661"/>
      <c r="AW6" s="1661"/>
      <c r="AX6" s="1661"/>
      <c r="AY6" s="1661"/>
      <c r="AZ6" s="1661"/>
      <c r="BA6" s="1661"/>
      <c r="BB6" s="1661"/>
      <c r="BC6" s="1487"/>
      <c r="BD6" s="1487"/>
      <c r="BE6" s="1672"/>
      <c r="BF6" s="1723"/>
      <c r="BG6" s="1723"/>
      <c r="BH6" s="1723"/>
      <c r="BI6" s="1723"/>
      <c r="BJ6" s="1723"/>
      <c r="BK6" s="1723"/>
      <c r="BL6" s="1723"/>
      <c r="BM6" s="1723"/>
    </row>
    <row r="7" spans="1:65" ht="38.25" customHeight="1" thickBot="1">
      <c r="A7" s="1715"/>
      <c r="B7" s="778"/>
      <c r="C7" s="779" t="str">
        <f>Datos!A7</f>
        <v>COMPETENCIAS</v>
      </c>
      <c r="D7" s="1662"/>
      <c r="E7" s="1662"/>
      <c r="F7" s="1673"/>
      <c r="G7" s="1662"/>
      <c r="H7" s="1662"/>
      <c r="I7" s="1662"/>
      <c r="J7" s="1662"/>
      <c r="K7" s="1662"/>
      <c r="L7" s="1662"/>
      <c r="M7" s="1662"/>
      <c r="N7" s="1662"/>
      <c r="O7" s="1662"/>
      <c r="P7" s="1662"/>
      <c r="Q7" s="1662"/>
      <c r="R7" s="1662"/>
      <c r="S7" s="1662"/>
      <c r="T7" s="1662"/>
      <c r="U7" s="1668"/>
      <c r="V7" s="1668"/>
      <c r="W7" s="1662"/>
      <c r="X7" s="1662"/>
      <c r="Y7" s="1682"/>
      <c r="Z7" s="1719"/>
      <c r="AA7" s="1722"/>
      <c r="AB7" s="1719"/>
      <c r="AC7" s="1719"/>
      <c r="AD7" s="1719"/>
      <c r="AE7" s="1719"/>
      <c r="AF7" s="1662"/>
      <c r="AG7" s="1662"/>
      <c r="AH7" s="1662"/>
      <c r="AI7" s="1662"/>
      <c r="AJ7" s="1662"/>
      <c r="AK7" s="1691"/>
      <c r="AL7" s="1691"/>
      <c r="AM7" s="1662"/>
      <c r="AN7" s="1662"/>
      <c r="AO7" s="1662"/>
      <c r="AP7" s="1662"/>
      <c r="AQ7" s="1662"/>
      <c r="AR7" s="1662"/>
      <c r="AS7" s="1662"/>
      <c r="AT7" s="1662"/>
      <c r="AU7" s="1662"/>
      <c r="AV7" s="1662"/>
      <c r="AW7" s="1662"/>
      <c r="AX7" s="1662"/>
      <c r="AY7" s="1662"/>
      <c r="AZ7" s="1662"/>
      <c r="BA7" s="1662"/>
      <c r="BB7" s="1662"/>
      <c r="BC7" s="1727"/>
      <c r="BD7" s="1727"/>
      <c r="BE7" s="1673"/>
      <c r="BF7" s="1724"/>
      <c r="BG7" s="1724"/>
      <c r="BH7" s="1724"/>
      <c r="BI7" s="1724"/>
      <c r="BJ7" s="1724"/>
      <c r="BK7" s="1724"/>
      <c r="BL7" s="1724"/>
      <c r="BM7" s="1724"/>
    </row>
    <row r="8" spans="1:65" ht="15.75" thickTop="1" thickBot="1">
      <c r="A8" s="780"/>
      <c r="B8" s="780"/>
      <c r="C8" s="166" t="str">
        <f>Datos!A8</f>
        <v>Jurisdicción Civil ( 1 ):</v>
      </c>
      <c r="D8" s="781"/>
      <c r="E8" s="781"/>
      <c r="F8" s="782"/>
      <c r="G8" s="783"/>
      <c r="H8" s="782"/>
      <c r="I8" s="784"/>
      <c r="J8" s="784"/>
      <c r="K8" s="784"/>
      <c r="L8" s="785"/>
      <c r="M8" s="785"/>
      <c r="N8" s="784"/>
      <c r="O8" s="784"/>
      <c r="P8" s="784"/>
      <c r="Q8" s="786"/>
      <c r="R8" s="786"/>
      <c r="S8" s="784"/>
      <c r="T8" s="784"/>
      <c r="U8" s="786"/>
      <c r="V8" s="786"/>
      <c r="W8" s="1173"/>
      <c r="X8" s="1174"/>
      <c r="Y8" s="784"/>
      <c r="Z8" s="787"/>
      <c r="AA8" s="788"/>
      <c r="AB8" s="782"/>
      <c r="AC8" s="782"/>
      <c r="AD8" s="784"/>
      <c r="AE8" s="784"/>
      <c r="AF8" s="782"/>
      <c r="AG8" s="782"/>
      <c r="AH8" s="784"/>
      <c r="AI8" s="784"/>
      <c r="AJ8" s="789"/>
      <c r="AK8" s="791"/>
      <c r="AL8" s="782"/>
      <c r="AM8" s="784"/>
      <c r="AN8" s="793"/>
      <c r="AO8" s="794"/>
      <c r="AP8" s="921"/>
      <c r="AQ8" s="921"/>
      <c r="AR8" s="795"/>
      <c r="AS8" s="795"/>
      <c r="AT8" s="795"/>
      <c r="AU8" s="795"/>
      <c r="AV8" s="796"/>
      <c r="AW8" s="796"/>
      <c r="AX8" s="795"/>
      <c r="AY8" s="795"/>
      <c r="AZ8" s="798"/>
      <c r="BA8" s="798"/>
      <c r="BB8" s="799"/>
      <c r="BC8" s="222"/>
      <c r="BD8" s="222"/>
      <c r="BE8" s="782"/>
      <c r="BF8" s="800"/>
      <c r="BG8" s="800"/>
      <c r="BH8" s="800"/>
      <c r="BI8" s="800"/>
      <c r="BJ8" s="800"/>
      <c r="BK8" s="800"/>
      <c r="BL8" s="800"/>
      <c r="BM8" s="800"/>
    </row>
    <row r="9" spans="1:65" s="753" customFormat="1" ht="15">
      <c r="A9" s="653">
        <f>Datos!AO9</f>
        <v>0</v>
      </c>
      <c r="B9" s="653" t="s">
        <v>273</v>
      </c>
      <c r="C9" s="671" t="str">
        <f>Datos!A9</f>
        <v xml:space="preserve">Jdos. 1ª Instancia   </v>
      </c>
      <c r="D9" s="544"/>
      <c r="E9" s="801">
        <f>IF(ISNUMBER(Datos!AQ9),Datos!AQ9," - ")</f>
        <v>0</v>
      </c>
      <c r="F9" s="802" t="str">
        <f>IF(ISNUMBER(AF9+AB9-I9),AF9+AB9-I9," - ")</f>
        <v xml:space="preserve"> - </v>
      </c>
      <c r="G9" s="803" t="str">
        <f>IF(ISNUMBER(IF(J_V="SI",Datos!I9,Datos!I9+Datos!Y9)-IF(Monitorios="SI",Datos!CA9,0)),
                          IF(J_V="SI",Datos!I9,Datos!I9+Datos!Y9)-IF(Monitorios="SI",Datos!CA9,0),
                          " - ")</f>
        <v xml:space="preserve"> - </v>
      </c>
      <c r="H9" s="802"/>
      <c r="I9" s="804"/>
      <c r="J9" s="804">
        <f>IF(ISNUMBER(Datos!DF9),Datos!DF9,0)</f>
        <v>0</v>
      </c>
      <c r="K9" s="804"/>
      <c r="L9" s="801"/>
      <c r="M9" s="801"/>
      <c r="N9" s="804"/>
      <c r="O9" s="804"/>
      <c r="P9" s="804"/>
      <c r="Q9" s="805"/>
      <c r="R9" s="805"/>
      <c r="S9" s="804"/>
      <c r="T9" s="804"/>
      <c r="U9" s="806"/>
      <c r="V9" s="806"/>
      <c r="W9" s="804"/>
      <c r="X9" s="1175"/>
      <c r="Y9" s="931"/>
      <c r="Z9" s="802"/>
      <c r="AA9" s="859"/>
      <c r="AB9" s="802"/>
      <c r="AC9" s="802"/>
      <c r="AD9" s="804"/>
      <c r="AE9" s="804"/>
      <c r="AF9" s="807" t="str">
        <f>IF(ISNUMBER(IF(J_V="SI",Datos!L9,Datos!L9+Datos!AB9)-IF(Monitorios="SI",Datos!CD9,0)),
                          IF(J_V="SI",Datos!L9,Datos!L9+Datos!AB9)-IF(Monitorios="SI",Datos!CD9,0),
                          " - ")</f>
        <v xml:space="preserve"> - </v>
      </c>
      <c r="AG9" s="807"/>
      <c r="AH9" s="808"/>
      <c r="AI9" s="808"/>
      <c r="AJ9" s="801"/>
      <c r="AK9" s="809"/>
      <c r="AL9" s="802"/>
      <c r="AM9" s="811"/>
      <c r="AN9" s="811"/>
      <c r="AO9" s="812"/>
      <c r="AP9" s="814"/>
      <c r="AQ9" s="814"/>
      <c r="AR9" s="815"/>
      <c r="AS9" s="815"/>
      <c r="AT9" s="815"/>
      <c r="AU9" s="815"/>
      <c r="AV9" s="816"/>
      <c r="AW9" s="816"/>
      <c r="AX9" s="818"/>
      <c r="AY9" s="818"/>
      <c r="AZ9" s="818"/>
      <c r="BA9" s="818"/>
      <c r="BB9" s="819">
        <f>Datos!DU9</f>
        <v>0</v>
      </c>
      <c r="BC9" s="502"/>
      <c r="BD9" s="502"/>
      <c r="BE9" s="802"/>
      <c r="BF9" s="820"/>
      <c r="BG9" s="820"/>
      <c r="BH9" s="820"/>
      <c r="BI9" s="820"/>
      <c r="BJ9" s="820"/>
      <c r="BK9" s="820"/>
      <c r="BL9" s="820"/>
      <c r="BM9" s="820"/>
    </row>
    <row r="10" spans="1:65" s="753" customFormat="1" ht="15">
      <c r="A10" s="653">
        <f>Datos!AO10</f>
        <v>1</v>
      </c>
      <c r="B10" s="654" t="s">
        <v>273</v>
      </c>
      <c r="C10" s="655" t="str">
        <f>Datos!A10</f>
        <v>Jdos. Violencia contra la mujer</v>
      </c>
      <c r="D10" s="549"/>
      <c r="E10" s="801">
        <f>IF(ISNUMBER(Datos!AQ10),Datos!AQ10," - ")</f>
        <v>0</v>
      </c>
      <c r="F10" s="802">
        <f>IF(ISNUMBER(Datos!L10+Datos!K10-Datos!J10),Datos!L10+Datos!K10-Datos!J10," - ")</f>
        <v>1</v>
      </c>
      <c r="G10" s="803">
        <f>IF(ISNUMBER(Datos!I10),Datos!I10," - ")</f>
        <v>1</v>
      </c>
      <c r="H10" s="802" t="str">
        <f>IF(ISNUMBER(Datos!DB10),Datos!DB10," - ")</f>
        <v xml:space="preserve"> - </v>
      </c>
      <c r="I10" s="804" t="str">
        <f>IF(ISNUMBER(DatosP!DB18),DatosP!DB18," - ")</f>
        <v xml:space="preserve"> - </v>
      </c>
      <c r="J10" s="804">
        <f>IF(ISNUMBER(Datos!DF10),Datos!DF10,0)</f>
        <v>0</v>
      </c>
      <c r="K10" s="804">
        <f>IF(ISNUMBER(DatosP!DF18),DatosP!DF18,0)</f>
        <v>0</v>
      </c>
      <c r="L10" s="801" t="str">
        <f>IF(ISNUMBER(DatosP!EB18),DatosP!EB18," - ")</f>
        <v xml:space="preserve"> - </v>
      </c>
      <c r="M10" s="801" t="str">
        <f>IF(ISNUMBER(DatosP!EC18),DatosP!EC18," - ")</f>
        <v xml:space="preserve"> - </v>
      </c>
      <c r="N10" s="804">
        <f>IF(ISNUMBER(Datos!P10),Datos!P10,0)</f>
        <v>0</v>
      </c>
      <c r="O10" s="804">
        <f>IF(ISNUMBER(DatosP!P18),DatosP!P18,0)</f>
        <v>0</v>
      </c>
      <c r="P10" s="804"/>
      <c r="Q10" s="805" t="str">
        <f>IF(ISNUMBER(DatosP!EB18*factor_trimestre/DatosP!EE18),DatosP!EB18*factor_trimestre/DatosP!EE18," - ")</f>
        <v xml:space="preserve"> - </v>
      </c>
      <c r="R10" s="805" t="str">
        <f>IF(ISNUMBER(DatosP!EC18*factor_trimestre/DatosP!EF18),DatosP!EC18*factor_trimestre/DatosP!EF18," - ")</f>
        <v xml:space="preserve"> - </v>
      </c>
      <c r="S10" s="804" t="str">
        <f>IF(ISNUMBER(Datos!AS10/E10),Datos!AS10/E10," - ")</f>
        <v xml:space="preserve"> - </v>
      </c>
      <c r="T10" s="804" t="str">
        <f>IF(ISNUMBER(DatosP!AS18/E10),DatosP!AS18/E10," - ")</f>
        <v xml:space="preserve"> - </v>
      </c>
      <c r="U10" s="806" t="str">
        <f>IF(ISNUMBER(S10/(Datos!BM10/factor_trimestre)),S10/(Datos!BM10/factor_trimestre)," - ")</f>
        <v xml:space="preserve"> - </v>
      </c>
      <c r="V10" s="806" t="str">
        <f>IF(ISNUMBER(T10/(DatosP!BM18/factor_trimestre)),T10/(Datos!BM18/factor_trimestre)," - ")</f>
        <v xml:space="preserve"> - </v>
      </c>
      <c r="W10" s="804" t="str">
        <f>IF(ISNUMBER(Datos!EO10+DatosP!EO18),Datos!EO10+DatosP!EO18," - ")</f>
        <v xml:space="preserve"> - </v>
      </c>
      <c r="X10" s="1175" t="str">
        <f>IF(ISNUMBER((W10/(Datos!ER10))*factor_trimestre),(W10/(Datos!ER10))*factor_trimestre," - ")</f>
        <v xml:space="preserve"> - </v>
      </c>
      <c r="Y10" s="931"/>
      <c r="Z10" s="802">
        <f>IF(ISNUMBER(Datos!BY10+DatosP!BY18+Datos!BZ10+DatosP!BZ18),Datos!BY10+DatosP!BY18+Datos!BZ10+DatosP!BZ18," - ")</f>
        <v>0</v>
      </c>
      <c r="AA10" s="859">
        <f>IF(ISNUMBER((Z10*factor_trimestre)/((Datos!CN10+DatosP!CN18)/2)),(Z10*factor_trimestre)/((Datos!CN10+DatosP!CN18)/2),"-")</f>
        <v>0</v>
      </c>
      <c r="AB10" s="802">
        <f>IF(ISNUMBER(Datos!K10),Datos!K10," - ")</f>
        <v>1</v>
      </c>
      <c r="AC10" s="802" t="str">
        <f>IF(ISNUMBER(IF(D_I="SI",DatosP!K18,DatosP!K18+DatosP!AE18)),IF(D_I="SI",DatosP!K18,DatosP!K18+DatosP!AE18)," - ")</f>
        <v xml:space="preserve"> - </v>
      </c>
      <c r="AD10" s="804"/>
      <c r="AE10" s="804"/>
      <c r="AF10" s="807">
        <f>IF(ISNUMBER(Datos!L10),Datos!L10,"-")</f>
        <v>2</v>
      </c>
      <c r="AG10" s="807" t="str">
        <f>IF(ISNUMBER(DatosP!L18),DatosP!L18,"-")</f>
        <v>-</v>
      </c>
      <c r="AH10" s="808"/>
      <c r="AI10" s="808"/>
      <c r="AJ10" s="801">
        <f>IF(ISNUMBER(Datos!BV10+DatosP!BV18),Datos!BV10+DatosP!BV18," - ")</f>
        <v>0</v>
      </c>
      <c r="AK10" s="809">
        <f>IF(ISNUMBER(Datos!DV10+DatosP!DV18),Datos!DV10+DatosP!DV18," - ")</f>
        <v>0</v>
      </c>
      <c r="AL10" s="802">
        <f>IF(ISNUMBER(Datos!M10+DatosP!M18),Datos!M10+DatosP!M18," - ")</f>
        <v>1</v>
      </c>
      <c r="AM10" s="811">
        <f>IF(ISNUMBER(Datos!N10+DatosP!N18),Datos!N10+DatosP!N18," - ")</f>
        <v>0</v>
      </c>
      <c r="AN10" s="811">
        <f>IF(ISNUMBER(Datos!BW10+DatosP!BW18),Datos!BW10+DatosP!BW18," - ")</f>
        <v>0</v>
      </c>
      <c r="AO10" s="812">
        <f>IF(ISNUMBER(Datos!BX10+DatosP!BX18),Datos!BX10+DatosP!BX18," - ")</f>
        <v>0</v>
      </c>
      <c r="AP10" s="814">
        <f>IF(ISNUMBER(((Datos!L10/Datos!K10)*11)/factor_trimestre),((Datos!L10/Datos!K10)*11)/factor_trimestre," - ")</f>
        <v>6</v>
      </c>
      <c r="AQ10" s="814" t="str">
        <f>IF(ISNUMBER(((IF(D_I="SI",DatosP!L18/DatosP!K18,(DatosP!L18+DatosP!AF18)/(DatosP!K18+DatosP!AE18)))*11)/factor_trimestre),((IF(D_I="SI",DatosP!L18/DatosP!K18,(DatosP!L18+DatosP!AF18)/(DatosP!K18+DatosP!AE18)))*11)/factor_trimestre," - ")</f>
        <v xml:space="preserve"> - </v>
      </c>
      <c r="AR10" s="815" t="str">
        <f>IF(ISNUMBER(Datos!CI10/Datos!CJ10),Datos!CI10/Datos!CJ10," - ")</f>
        <v xml:space="preserve"> - </v>
      </c>
      <c r="AS10" s="815" t="str">
        <f>IF(ISNUMBER(DatosP!CI18/DatosP!CJ18),DatosP!CI18/DatosP!CJ18," - ")</f>
        <v xml:space="preserve"> - </v>
      </c>
      <c r="AT10" s="815" t="str">
        <f>IF(ISNUMBER(((H10-AB10+J10)/(F10-J10))),(H10-AB10+J10)/(F10-J10)," - ")</f>
        <v xml:space="preserve"> - </v>
      </c>
      <c r="AU10" s="815" t="str">
        <f>IF(ISNUMBER((DatosP!DB18-DatosP!K18+DatosP!DF18)/(DatosP!L18+DatosP!K18-DatosP!J18-DatosP!DF18)),(DatosP!DB18-DatosP!K18+DatosP!DF18)/(DatosP!L18+DatosP!K18-DatosP!J18-DatosP!DF18)," - ")</f>
        <v xml:space="preserve"> - </v>
      </c>
      <c r="AV10" s="816"/>
      <c r="AW10" s="816"/>
      <c r="AX10" s="818">
        <f>IF(ISNUMBER(Datos!EV10+DatosP!EV18),Datos!EV10+DatosP!EV18," - ")</f>
        <v>0</v>
      </c>
      <c r="AY10" s="818">
        <f>IF(ISNUMBER(Datos!CW10+DatosP!CW18),Datos!CW10+DatosP!CW18," - ")</f>
        <v>0</v>
      </c>
      <c r="AZ10" s="818">
        <f>Datos!CX10</f>
        <v>0</v>
      </c>
      <c r="BA10" s="818">
        <f>DatosP!CX18</f>
        <v>0</v>
      </c>
      <c r="BB10" s="819">
        <f>Datos!DU10</f>
        <v>0</v>
      </c>
      <c r="BC10" s="502"/>
      <c r="BD10" s="502"/>
      <c r="BE10" s="802">
        <f>IF(ISNUMBER(DatosP!L18+DatosP!K18-DatosP!J18),DatosP!L18+DatosP!K18-DatosP!J18," - ")</f>
        <v>0</v>
      </c>
      <c r="BF10" s="820"/>
      <c r="BG10" s="820"/>
      <c r="BH10" s="820"/>
      <c r="BI10" s="820"/>
      <c r="BJ10" s="820"/>
      <c r="BK10" s="820"/>
      <c r="BL10" s="820"/>
      <c r="BM10" s="820"/>
    </row>
    <row r="11" spans="1:65" s="753" customFormat="1" ht="15">
      <c r="A11" s="653">
        <f>Datos!AO11</f>
        <v>0</v>
      </c>
      <c r="B11" s="654" t="s">
        <v>273</v>
      </c>
      <c r="C11" s="655" t="str">
        <f>Datos!A11</f>
        <v xml:space="preserve">Jdos. Familia                                   </v>
      </c>
      <c r="D11" s="549"/>
      <c r="E11" s="801">
        <f>IF(ISNUMBER(Datos!AQ11),Datos!AQ11," - ")</f>
        <v>0</v>
      </c>
      <c r="F11" s="802" t="str">
        <f>IF(ISNUMBER(AF11+AB11-I11),AF11+AB11-I11," - ")</f>
        <v xml:space="preserve"> - </v>
      </c>
      <c r="G11" s="803" t="str">
        <f>IF(ISNUMBER(IF(J_V="SI",Datos!I11,Datos!I11+Datos!Y11)-IF(Monitorios="SI",Datos!CA11,0)),
                          IF(J_V="SI",Datos!I11,Datos!I11+Datos!Y11)-IF(Monitorios="SI",Datos!CA11,0),
                          " - ")</f>
        <v xml:space="preserve"> - </v>
      </c>
      <c r="H11" s="802"/>
      <c r="I11" s="804"/>
      <c r="J11" s="804">
        <f>IF(ISNUMBER(Datos!DF11),Datos!DF11,0)</f>
        <v>0</v>
      </c>
      <c r="K11" s="804"/>
      <c r="L11" s="801"/>
      <c r="M11" s="801"/>
      <c r="N11" s="804"/>
      <c r="O11" s="804"/>
      <c r="P11" s="804"/>
      <c r="Q11" s="805"/>
      <c r="R11" s="805"/>
      <c r="S11" s="804"/>
      <c r="T11" s="804"/>
      <c r="U11" s="806"/>
      <c r="V11" s="806"/>
      <c r="W11" s="804"/>
      <c r="X11" s="1175"/>
      <c r="Y11" s="931"/>
      <c r="Z11" s="802"/>
      <c r="AA11" s="859"/>
      <c r="AB11" s="802"/>
      <c r="AC11" s="802"/>
      <c r="AD11" s="804"/>
      <c r="AE11" s="804"/>
      <c r="AF11" s="807" t="str">
        <f>IF(ISNUMBER(IF(J_V="SI",Datos!L11,Datos!L11+Datos!AB11)-IF(Monitorios="SI",Datos!CD11,0)),
                          IF(J_V="SI",Datos!L11,Datos!L11+Datos!AB11)-IF(Monitorios="SI",Datos!CD11,0),
                          " - ")</f>
        <v xml:space="preserve"> - </v>
      </c>
      <c r="AG11" s="807"/>
      <c r="AH11" s="808"/>
      <c r="AI11" s="808"/>
      <c r="AJ11" s="808"/>
      <c r="AK11" s="809"/>
      <c r="AL11" s="802"/>
      <c r="AM11" s="811"/>
      <c r="AN11" s="811"/>
      <c r="AO11" s="812"/>
      <c r="AP11" s="814"/>
      <c r="AQ11" s="814"/>
      <c r="AR11" s="815"/>
      <c r="AS11" s="815"/>
      <c r="AT11" s="815"/>
      <c r="AU11" s="815"/>
      <c r="AV11" s="816"/>
      <c r="AW11" s="816"/>
      <c r="AX11" s="818"/>
      <c r="AY11" s="818"/>
      <c r="AZ11" s="818"/>
      <c r="BA11" s="818"/>
      <c r="BB11" s="819">
        <f>Datos!DU11</f>
        <v>0</v>
      </c>
      <c r="BC11" s="502"/>
      <c r="BD11" s="502"/>
      <c r="BE11" s="802"/>
      <c r="BF11" s="820"/>
      <c r="BG11" s="820"/>
      <c r="BH11" s="820"/>
      <c r="BI11" s="820"/>
      <c r="BJ11" s="820"/>
      <c r="BK11" s="820"/>
      <c r="BL11" s="820"/>
      <c r="BM11" s="820"/>
    </row>
    <row r="12" spans="1:65" s="753" customFormat="1" ht="15">
      <c r="A12" s="653">
        <f>Datos!AO12</f>
        <v>2</v>
      </c>
      <c r="B12" s="654" t="s">
        <v>273</v>
      </c>
      <c r="C12" s="655" t="str">
        <f>Datos!A12</f>
        <v xml:space="preserve">Jdos. 1ª Instª. e Instr.                        </v>
      </c>
      <c r="D12" s="549"/>
      <c r="E12" s="801">
        <f>IF(ISNUMBER(Datos!AQ12),Datos!AQ12," - ")</f>
        <v>2</v>
      </c>
      <c r="F12" s="802" t="str">
        <f>IF(ISNUMBER(AF12+AB12-Datos!DC12),AF12+AB12-Datos!DC12," - ")</f>
        <v xml:space="preserve"> - </v>
      </c>
      <c r="G12" s="803" t="str">
        <f>IF(ISNUMBER(IF(J_V="SI",Datos!I12,Datos!I12+Datos!Y12)-IF(Monitorios="SI",Datos!CA12,0)),
                          IF(J_V="SI",Datos!I12,Datos!I12+Datos!Y12)-IF(Monitorios="SI",Datos!CA12,0),
                          " - ")</f>
        <v xml:space="preserve"> - </v>
      </c>
      <c r="H12" s="802" t="str">
        <f>IF(ISNUMBER(Datos!DC12),Datos!DC12," - ")</f>
        <v xml:space="preserve"> - </v>
      </c>
      <c r="I12" s="804" t="str">
        <f>IF(ISNUMBER(DatosP!DC17),DatosP!DC17," - ")</f>
        <v xml:space="preserve"> - </v>
      </c>
      <c r="J12" s="804">
        <f>IF(ISNUMBER(Datos!DF12),Datos!DF12,0)</f>
        <v>0</v>
      </c>
      <c r="K12" s="804">
        <f>IF(ISNUMBER(DatosP!DF17),DatosP!DF17,0)</f>
        <v>0</v>
      </c>
      <c r="L12" s="801"/>
      <c r="M12" s="801"/>
      <c r="N12" s="804">
        <f>IF(ISNUMBER(Datos!P12),Datos!P12,0)</f>
        <v>77</v>
      </c>
      <c r="O12" s="804">
        <f>IF(ISNUMBER(DatosP!P17),DatosP!P17,0)</f>
        <v>0</v>
      </c>
      <c r="P12" s="804" t="str">
        <f>IF(ISNUMBER(DatosP!DE17),DatosP!DE17," - ")</f>
        <v xml:space="preserve"> - </v>
      </c>
      <c r="Q12" s="805"/>
      <c r="R12" s="805"/>
      <c r="S12" s="804" t="str">
        <f>IF(ISNUMBER(Datos!AS12*(2500/380)+DatosP!AS17),Datos!AS12*(2500/380)+DatosP!AS17," - ")</f>
        <v xml:space="preserve"> - </v>
      </c>
      <c r="T12" s="804">
        <f>IF(ISNUMBER(DatosP!AS17/E12),DatosP!AS17/E12," - ")</f>
        <v>0</v>
      </c>
      <c r="U12" s="806" t="str">
        <f>IF(ISNUMBER(S12/((2*DatosP!BM17)/factor_trimestre)),S12/((2*DatosP!BM17)/factor_trimestre)," - ")</f>
        <v xml:space="preserve"> - </v>
      </c>
      <c r="V12" s="806" t="str">
        <f>IF(ISNUMBER(T12/(DatosP!BM17/factor_trimestre)),T12/(DatosP!BM17/factor_trimestre)," - ")</f>
        <v xml:space="preserve"> - </v>
      </c>
      <c r="W12" s="804" t="str">
        <f>IF(ISNUMBER(Datos!EO12*DatosP!ER17/Datos!ER12+DatosP!EO17),Datos!EO12*DatosP!ER17/Datos!ER12+DatosP!EO17," - ")</f>
        <v xml:space="preserve"> - </v>
      </c>
      <c r="X12" s="1175" t="str">
        <f>IF(ISNUMBER((W12/(2000))*factor_trimestre),(W12/(2000))*factor_trimestre," - ")</f>
        <v xml:space="preserve"> - </v>
      </c>
      <c r="Y12" s="931" t="str">
        <f>IF(ISNUMBER(Datos!CB12),Datos!CB12," - ")</f>
        <v xml:space="preserve"> - </v>
      </c>
      <c r="Z12" s="802">
        <f>IF(ISNUMBER(Datos!BY12+DatosP!BY17),Datos!BY12+DatosP!BY17," - ")</f>
        <v>0</v>
      </c>
      <c r="AA12" s="859">
        <f>IF(ISNUMBER((Z12*factor_trimestre)/((Datos!CN12+DatosP!CN17)/2)),(Z12*factor_trimestre)/((Datos!CN12+DatosP!CN17)/2),"-")</f>
        <v>0</v>
      </c>
      <c r="AB12" s="802" t="str">
        <f>IF(ISNUMBER(IF(J_V="SI",Datos!K12,Datos!K12+Datos!AA12)-IF(Monitorios="SI",Datos!CC12,0)),
                          IF(J_V="SI",Datos!K12,Datos!K12+Datos!AA12)-IF(Monitorios="SI",Datos!CC12,0),
                          " - ")</f>
        <v xml:space="preserve"> - </v>
      </c>
      <c r="AC12" s="802" t="str">
        <f>IF(ISNUMBER(IF(D_I="SI",DatosP!K17,DatosP!K17+DatosP!AE17)),IF(D_I="SI",DatosP!K17,DatosP!K17+DatosP!AE17)," - ")</f>
        <v xml:space="preserve"> - </v>
      </c>
      <c r="AD12" s="804">
        <f>IF(ISNUMBER(Datos!Q12),Datos!Q12," - ")</f>
        <v>33</v>
      </c>
      <c r="AE12" s="804" t="str">
        <f>IF(ISNUMBER(DatosP!Q17),DatosP!Q17," - ")</f>
        <v xml:space="preserve"> - </v>
      </c>
      <c r="AF12" s="807" t="str">
        <f>IF(ISNUMBER(IF(J_V="SI",Datos!L12,Datos!L12+Datos!AB12)-IF(Monitorios="SI",Datos!CD12,0)),
                          IF(J_V="SI",Datos!L12,Datos!L12+Datos!AB12)-IF(Monitorios="SI",Datos!CD12,0),
                          " - ")</f>
        <v xml:space="preserve"> - </v>
      </c>
      <c r="AG12" s="807" t="str">
        <f>IF(ISNUMBER(IF(D_I="SI",DatosP!L17,DatosP!L17+DatosP!AF17)),IF(D_I="SI",DatosP!L17,DatosP!L17+DatosP!AF17)," - ")</f>
        <v xml:space="preserve"> - </v>
      </c>
      <c r="AH12" s="808">
        <f>IF(ISNUMBER(Datos!R12),Datos!R12," - ")</f>
        <v>1356</v>
      </c>
      <c r="AI12" s="808" t="str">
        <f>IF(ISNUMBER(DatosP!R17),DatosP!R17," - ")</f>
        <v xml:space="preserve"> - </v>
      </c>
      <c r="AJ12" s="801">
        <f>IF(ISNUMBER(Datos!BV12+DatosP!BV17),Datos!BV12+DatosP!BV17," - ")</f>
        <v>0</v>
      </c>
      <c r="AK12" s="809" t="str">
        <f>IF(ISNUMBER(Datos!DV12),Datos!DV12," - ")</f>
        <v xml:space="preserve"> - </v>
      </c>
      <c r="AL12" s="802">
        <f>IF(ISNUMBER(Datos!M12+DatosP!M17),Datos!M12+DatosP!M17," - ")</f>
        <v>83</v>
      </c>
      <c r="AM12" s="811">
        <f>IF(ISNUMBER(Datos!N12+DatosP!N17),Datos!N12+DatosP!N17," - ")</f>
        <v>114</v>
      </c>
      <c r="AN12" s="811">
        <f>IF(ISNUMBER(Datos!BW12+DatosP!BW17),Datos!BW12+DatosP!BW17," - ")</f>
        <v>0</v>
      </c>
      <c r="AO12" s="812">
        <f>IF(ISNUMBER(Datos!BX12+DatosP!BX17),Datos!BX12+DatosP!BX17," - ")</f>
        <v>0</v>
      </c>
      <c r="AP12" s="814">
        <f>IF(ISNUMBER(((IF(J_V="SI",Datos!L12/Datos!K12,(Datos!L12+Datos!AB12)/(Datos!K12+Datos!AA12)))*11)/factor_trimestre),((IF(J_V="SI",Datos!L12/Datos!K12,(Datos!L12+Datos!AB12)/(Datos!K12+Datos!AA12)))*11)/factor_trimestre," - ")</f>
        <v>10.280254777070065</v>
      </c>
      <c r="AQ12" s="814" t="str">
        <f>IF(ISNUMBER(((IF(D_I="SI",DatosP!L17/DatosP!K17,(DatosP!L17+DatosP!AF17)/(DatosP!K17+DatosP!AE17)))*11)/factor_trimestre),((IF(D_I="SI",DatosP!L17/DatosP!K17,(DatosP!L17+DatosP!AF17)/(DatosP!K17+DatosP!AE17)))*11)/factor_trimestre," - ")</f>
        <v xml:space="preserve"> - </v>
      </c>
      <c r="AR12" s="815" t="str">
        <f>IF(ISNUMBER(Datos!CI12/Datos!CJ12),Datos!CI12/Datos!CJ12," - ")</f>
        <v xml:space="preserve"> - </v>
      </c>
      <c r="AS12" s="815" t="str">
        <f>IF(ISNUMBER(DatosP!CI17/DatosP!CJ17),DatosP!CI17/DatosP!CJ17," - ")</f>
        <v xml:space="preserve"> - </v>
      </c>
      <c r="AT12" s="815" t="str">
        <f>IF(ISNUMBER(((BC12-AB12+J12)/(F12-J12))),(BC12-AB12+J12)/(F12-J12)," - ")</f>
        <v xml:space="preserve"> - </v>
      </c>
      <c r="AU12" s="815" t="str">
        <f>IF(ISNUMBER((DatosP!DC17-DatosP!K17+DatosP!DF17)/(DatosP!L17+DatosP!K17-DatosP!J17-DatosP!DF17)),(DatosP!DC17-DatosP!K17+DatosP!DF17)/(DatosP!L17+DatosP!K17-DatosP!J17-DatosP!DF17)," - ")</f>
        <v xml:space="preserve"> - </v>
      </c>
      <c r="AV12" s="816">
        <f>IF(ISNUMBER((Datos!P12-Datos!Q12+Datos!DE12)/(Datos!R12-Datos!P12+Datos!Q12-Datos!DE12)),(Datos!P12-Datos!Q12+Datos!DE12)/(Datos!R12-Datos!P12+Datos!Q12-Datos!DE12)," - ")</f>
        <v>3.3536585365853661E-2</v>
      </c>
      <c r="AW12" s="816" t="str">
        <f>IF(ISNUMBER((DatosP!P17-DatosP!Q17+DatosP!DE17)/(DatosP!R17-DatosP!P17+DatosP!Q17-DatosP!DE17)),(DatosP!P17-DatosP!Q17+DatosP!DE17)/(DatosP!R17-DatosP!P17+DatosP!Q17-DatosP!DE17)," - ")</f>
        <v xml:space="preserve"> - </v>
      </c>
      <c r="AX12" s="818">
        <f>IF(ISNUMBER(Datos!EV12+DatosP!EV17),Datos!EV12+DatosP!EV17," - ")</f>
        <v>0</v>
      </c>
      <c r="AY12" s="818">
        <f>IF(ISNUMBER(Datos!CW12+DatosP!CW17),Datos!CW12+DatosP!CW17," - ")</f>
        <v>0</v>
      </c>
      <c r="AZ12" s="818">
        <f>Datos!CX12</f>
        <v>0</v>
      </c>
      <c r="BA12" s="818">
        <f>DatosP!CX17</f>
        <v>0</v>
      </c>
      <c r="BB12" s="819">
        <f>Datos!DU12</f>
        <v>0</v>
      </c>
      <c r="BC12" s="502" t="str">
        <f>IF(ISNUMBER(Datos!DC12),Datos!DC12," - ")</f>
        <v xml:space="preserve"> - </v>
      </c>
      <c r="BD12" s="502" t="str">
        <f>IF(ISNUMBER(DatosP!DC17),DatosP!DC17," - ")</f>
        <v xml:space="preserve"> - </v>
      </c>
      <c r="BE12" s="802" t="str">
        <f>IF(ISNUMBER(AG12+AC12-DatosP!J17),AG12+AC12-DatosP!J17," - ")</f>
        <v xml:space="preserve"> - </v>
      </c>
      <c r="BF12" s="820"/>
      <c r="BG12" s="820"/>
      <c r="BH12" s="820"/>
      <c r="BI12" s="820"/>
      <c r="BJ12" s="820"/>
      <c r="BK12" s="820"/>
      <c r="BL12" s="820"/>
      <c r="BM12" s="820"/>
    </row>
    <row r="13" spans="1:65" s="753" customFormat="1" ht="15.75" thickBot="1">
      <c r="A13" s="653">
        <f>Datos!AO13</f>
        <v>0</v>
      </c>
      <c r="B13" s="654" t="s">
        <v>273</v>
      </c>
      <c r="C13" s="655" t="str">
        <f>Datos!A13</f>
        <v xml:space="preserve">Jdos. de Menores    </v>
      </c>
      <c r="D13" s="549"/>
      <c r="E13" s="801">
        <f>IF(ISNUMBER(Datos!AQ13),Datos!AQ13," - ")</f>
        <v>0</v>
      </c>
      <c r="F13" s="802" t="str">
        <f>IF(ISNUMBER(Datos!L13+Datos!K13-Datos!J13),Datos!L13+Datos!K13-Datos!J13," - ")</f>
        <v xml:space="preserve"> - </v>
      </c>
      <c r="G13" s="803" t="str">
        <f>IF(ISNUMBER(Datos!I13),Datos!I13," - ")</f>
        <v xml:space="preserve"> - </v>
      </c>
      <c r="H13" s="802"/>
      <c r="I13" s="804"/>
      <c r="J13" s="804">
        <f>IF(ISNUMBER(Datos!DF13),Datos!DF13,0)</f>
        <v>0</v>
      </c>
      <c r="K13" s="804"/>
      <c r="L13" s="801"/>
      <c r="M13" s="801"/>
      <c r="N13" s="804"/>
      <c r="O13" s="804"/>
      <c r="P13" s="804"/>
      <c r="Q13" s="805"/>
      <c r="R13" s="805"/>
      <c r="S13" s="804"/>
      <c r="T13" s="804"/>
      <c r="U13" s="806"/>
      <c r="V13" s="806"/>
      <c r="W13" s="804"/>
      <c r="X13" s="1175"/>
      <c r="Y13" s="931"/>
      <c r="Z13" s="802"/>
      <c r="AA13" s="859"/>
      <c r="AB13" s="802"/>
      <c r="AC13" s="802"/>
      <c r="AD13" s="804"/>
      <c r="AE13" s="804"/>
      <c r="AF13" s="807" t="str">
        <f>IF(ISNUMBER(Datos!L13),Datos!L13,"-")</f>
        <v>-</v>
      </c>
      <c r="AG13" s="807"/>
      <c r="AH13" s="808"/>
      <c r="AI13" s="808"/>
      <c r="AJ13" s="808"/>
      <c r="AK13" s="809"/>
      <c r="AL13" s="802"/>
      <c r="AM13" s="811"/>
      <c r="AN13" s="811"/>
      <c r="AO13" s="812"/>
      <c r="AP13" s="814"/>
      <c r="AQ13" s="814"/>
      <c r="AR13" s="815"/>
      <c r="AS13" s="815"/>
      <c r="AT13" s="815"/>
      <c r="AU13" s="815"/>
      <c r="AV13" s="816"/>
      <c r="AW13" s="816"/>
      <c r="AX13" s="818"/>
      <c r="AY13" s="818"/>
      <c r="AZ13" s="818"/>
      <c r="BA13" s="818"/>
      <c r="BB13" s="819">
        <f>Datos!DU13</f>
        <v>0</v>
      </c>
      <c r="BC13" s="502"/>
      <c r="BD13" s="502"/>
      <c r="BE13" s="802"/>
      <c r="BF13" s="820"/>
      <c r="BG13" s="820"/>
      <c r="BH13" s="820"/>
      <c r="BI13" s="820"/>
      <c r="BJ13" s="820"/>
      <c r="BK13" s="820"/>
      <c r="BL13" s="820"/>
      <c r="BM13" s="820"/>
    </row>
    <row r="14" spans="1:65" ht="15.75" thickTop="1" thickBot="1">
      <c r="A14" s="832"/>
      <c r="B14" s="832"/>
      <c r="C14" s="1083" t="str">
        <f>Datos!A14</f>
        <v>TOTAL</v>
      </c>
      <c r="D14" s="1084"/>
      <c r="E14" s="1084">
        <f t="shared" ref="E14:V14" si="0">SUBTOTAL(9,E8:E13)</f>
        <v>2</v>
      </c>
      <c r="F14" s="1085">
        <f t="shared" si="0"/>
        <v>1</v>
      </c>
      <c r="G14" s="1085">
        <f t="shared" si="0"/>
        <v>1</v>
      </c>
      <c r="H14" s="1085">
        <f t="shared" si="0"/>
        <v>0</v>
      </c>
      <c r="I14" s="1087">
        <f t="shared" si="0"/>
        <v>0</v>
      </c>
      <c r="J14" s="1086">
        <f t="shared" si="0"/>
        <v>0</v>
      </c>
      <c r="K14" s="1086">
        <f t="shared" si="0"/>
        <v>0</v>
      </c>
      <c r="L14" s="1088">
        <f t="shared" si="0"/>
        <v>0</v>
      </c>
      <c r="M14" s="1088">
        <f t="shared" si="0"/>
        <v>0</v>
      </c>
      <c r="N14" s="1086">
        <f t="shared" si="0"/>
        <v>77</v>
      </c>
      <c r="O14" s="1086">
        <f t="shared" si="0"/>
        <v>0</v>
      </c>
      <c r="P14" s="1086">
        <f t="shared" si="0"/>
        <v>0</v>
      </c>
      <c r="Q14" s="1089">
        <f t="shared" si="0"/>
        <v>0</v>
      </c>
      <c r="R14" s="1089">
        <f t="shared" si="0"/>
        <v>0</v>
      </c>
      <c r="S14" s="1086">
        <f t="shared" si="0"/>
        <v>0</v>
      </c>
      <c r="T14" s="1086">
        <f t="shared" si="0"/>
        <v>0</v>
      </c>
      <c r="U14" s="1089">
        <f t="shared" si="0"/>
        <v>0</v>
      </c>
      <c r="V14" s="1089">
        <f t="shared" si="0"/>
        <v>0</v>
      </c>
      <c r="W14" s="1171">
        <v>0</v>
      </c>
      <c r="X14" s="1177">
        <v>0</v>
      </c>
      <c r="Y14" s="1088">
        <f>SUBTOTAL(9,Y8:Y13)</f>
        <v>0</v>
      </c>
      <c r="Z14" s="1086">
        <f>SUBTOTAL(9,Z8:Z13)</f>
        <v>0</v>
      </c>
      <c r="AA14" s="1090">
        <f>IF(ISNUMBER(AVERAGE(AA8:AA13)),AVERAGE(AA8:AA13),"-")</f>
        <v>0</v>
      </c>
      <c r="AB14" s="1086">
        <f t="shared" ref="AB14:AO14" si="1">SUBTOTAL(9,AB8:AB13)</f>
        <v>1</v>
      </c>
      <c r="AC14" s="1086">
        <f t="shared" si="1"/>
        <v>0</v>
      </c>
      <c r="AD14" s="1086">
        <f t="shared" si="1"/>
        <v>33</v>
      </c>
      <c r="AE14" s="1086">
        <f t="shared" si="1"/>
        <v>0</v>
      </c>
      <c r="AF14" s="1086">
        <f t="shared" si="1"/>
        <v>2</v>
      </c>
      <c r="AG14" s="1086">
        <f t="shared" si="1"/>
        <v>0</v>
      </c>
      <c r="AH14" s="1086">
        <f t="shared" si="1"/>
        <v>1356</v>
      </c>
      <c r="AI14" s="1086">
        <f t="shared" si="1"/>
        <v>0</v>
      </c>
      <c r="AJ14" s="1086">
        <f t="shared" si="1"/>
        <v>0</v>
      </c>
      <c r="AK14" s="1086">
        <f t="shared" si="1"/>
        <v>0</v>
      </c>
      <c r="AL14" s="1086">
        <f t="shared" si="1"/>
        <v>84</v>
      </c>
      <c r="AM14" s="1086">
        <f t="shared" si="1"/>
        <v>114</v>
      </c>
      <c r="AN14" s="1086">
        <f t="shared" si="1"/>
        <v>0</v>
      </c>
      <c r="AO14" s="1086">
        <f t="shared" si="1"/>
        <v>0</v>
      </c>
      <c r="AP14" s="1091">
        <f>IF(ISNUMBER(((Datos!L14/Datos!K14)*11)/factor_trimestre),((Datos!L14/Datos!K14)*11)/factor_trimestre," - ")</f>
        <v>11.37410071942446</v>
      </c>
      <c r="AQ14" s="1091" t="str">
        <f>IF(ISNUMBER(((DatosP!L14/DatosP!K14)*11)/factor_trimestre),((DatosP!L14/DatosP!K14)*11)/factor_trimestre," - ")</f>
        <v xml:space="preserve"> - </v>
      </c>
      <c r="AR14" s="1086" t="str">
        <f>IF(ISNUMBER(Datos!CI14/Datos!CJ14),Datos!CI14/Datos!CJ14," - ")</f>
        <v xml:space="preserve"> - </v>
      </c>
      <c r="AS14" s="1086" t="str">
        <f>IF(ISNUMBER(DatosP!CJ14/DatosP!CK14),DatosP!CJ14/DatosP!CK14," - ")</f>
        <v xml:space="preserve"> - </v>
      </c>
      <c r="AT14" s="1086">
        <f>IF(OR(ISNUMBER(FIND("04",Criterios!A8,1))),(BC14-AB14+J14)/(F14-J14),(H14-AB14+J14)/(F14-J14))</f>
        <v>-1</v>
      </c>
      <c r="AU14" s="1086" t="str">
        <f>IF(ISNUMBER((DatosP!#REF!-DatosP!#REF!+DatosP!#REF!)/(DatosP!#REF!+DatosP!#REF!-DatosP!#REF!-DatosP!#REF!)),(DatosP!#REF!-DatosP!#REF!+DatosP!#REF!)/(DatosP!#REF!+DatosP!#REF!-DatosP!#REF!-DatosP!#REF!)," - ")</f>
        <v xml:space="preserve"> - </v>
      </c>
      <c r="AV14" s="1092">
        <f>SUBTOTAL(9,AV9:AV13)</f>
        <v>3.3536585365853661E-2</v>
      </c>
      <c r="AW14" s="1092">
        <f>SUBTOTAL(9,AW9:AW13)</f>
        <v>0</v>
      </c>
      <c r="AX14" s="1086">
        <f>SUBTOTAL(9,AX8:AX13)</f>
        <v>0</v>
      </c>
      <c r="AY14" s="1086">
        <f>SUBTOTAL(9,AY8:AY13)</f>
        <v>0</v>
      </c>
      <c r="AZ14" s="1086"/>
      <c r="BA14" s="1086"/>
      <c r="BB14" s="1086"/>
      <c r="BC14" s="238">
        <f>SUBTOTAL(9,BC8:BC13)</f>
        <v>0</v>
      </c>
      <c r="BD14" s="238">
        <f>SUBTOTAL(9,BD8:BD13)</f>
        <v>0</v>
      </c>
      <c r="BE14" s="833">
        <f>SUBTOTAL(9,BE8:BE13)</f>
        <v>0</v>
      </c>
      <c r="BF14" s="834"/>
      <c r="BG14" s="834"/>
      <c r="BH14" s="834"/>
      <c r="BI14" s="834"/>
      <c r="BJ14" s="834"/>
      <c r="BK14" s="834"/>
      <c r="BL14" s="834"/>
      <c r="BM14" s="834"/>
    </row>
    <row r="15" spans="1:65" ht="15" thickTop="1">
      <c r="A15" s="551"/>
      <c r="B15" s="551"/>
      <c r="C15" s="291" t="str">
        <f>Datos!A15</f>
        <v xml:space="preserve">Jurisdicción Penal ( 2 ):                      </v>
      </c>
      <c r="D15" s="553"/>
      <c r="E15" s="835"/>
      <c r="F15" s="836"/>
      <c r="G15" s="837"/>
      <c r="H15" s="839"/>
      <c r="I15" s="784"/>
      <c r="J15" s="838"/>
      <c r="K15" s="838"/>
      <c r="L15" s="838"/>
      <c r="M15" s="838"/>
      <c r="N15" s="821"/>
      <c r="O15" s="821"/>
      <c r="P15" s="821"/>
      <c r="Q15" s="840"/>
      <c r="R15" s="840"/>
      <c r="S15" s="821"/>
      <c r="T15" s="821"/>
      <c r="U15" s="822"/>
      <c r="V15" s="822"/>
      <c r="W15" s="821"/>
      <c r="X15" s="1176"/>
      <c r="Y15" s="926"/>
      <c r="Z15" s="823"/>
      <c r="AA15" s="841"/>
      <c r="AB15" s="823"/>
      <c r="AC15" s="823"/>
      <c r="AD15" s="821"/>
      <c r="AE15" s="821"/>
      <c r="AF15" s="839"/>
      <c r="AG15" s="839"/>
      <c r="AH15" s="825"/>
      <c r="AI15" s="825"/>
      <c r="AJ15" s="824"/>
      <c r="AK15" s="791"/>
      <c r="AL15" s="823"/>
      <c r="AM15" s="826"/>
      <c r="AN15" s="826"/>
      <c r="AO15" s="827"/>
      <c r="AP15" s="814"/>
      <c r="AQ15" s="814"/>
      <c r="AR15" s="829"/>
      <c r="AS15" s="829"/>
      <c r="AT15" s="829"/>
      <c r="AU15" s="829"/>
      <c r="AV15" s="842"/>
      <c r="AW15" s="842"/>
      <c r="AX15" s="830"/>
      <c r="AY15" s="830"/>
      <c r="AZ15" s="830"/>
      <c r="BA15" s="830"/>
      <c r="BB15" s="831"/>
      <c r="BC15" s="222"/>
      <c r="BD15" s="222"/>
      <c r="BE15" s="836"/>
      <c r="BF15" s="845"/>
      <c r="BG15" s="845"/>
      <c r="BH15" s="845"/>
      <c r="BI15" s="845"/>
      <c r="BJ15" s="845"/>
      <c r="BK15" s="845"/>
      <c r="BL15" s="845"/>
      <c r="BM15" s="845"/>
    </row>
    <row r="16" spans="1:65" s="854" customFormat="1" ht="14.25">
      <c r="A16" s="646">
        <f>Datos!AO16</f>
        <v>0</v>
      </c>
      <c r="B16" s="647" t="s">
        <v>437</v>
      </c>
      <c r="C16" s="657" t="str">
        <f>Datos!A16</f>
        <v xml:space="preserve">Jdos. Instrucción                               </v>
      </c>
      <c r="D16" s="658"/>
      <c r="E16" s="846"/>
      <c r="F16" s="847"/>
      <c r="G16" s="848"/>
      <c r="H16" s="847"/>
      <c r="I16" s="821"/>
      <c r="J16" s="849"/>
      <c r="K16" s="849"/>
      <c r="L16" s="850"/>
      <c r="M16" s="850"/>
      <c r="N16" s="821"/>
      <c r="O16" s="821"/>
      <c r="P16" s="821"/>
      <c r="Q16" s="851"/>
      <c r="R16" s="851"/>
      <c r="S16" s="821"/>
      <c r="T16" s="821"/>
      <c r="U16" s="822"/>
      <c r="V16" s="822"/>
      <c r="W16" s="821"/>
      <c r="X16" s="1176"/>
      <c r="Y16" s="932"/>
      <c r="Z16" s="823"/>
      <c r="AA16" s="841"/>
      <c r="AB16" s="823"/>
      <c r="AC16" s="823"/>
      <c r="AD16" s="821"/>
      <c r="AE16" s="821"/>
      <c r="AF16" s="852"/>
      <c r="AG16" s="852"/>
      <c r="AH16" s="825"/>
      <c r="AI16" s="825"/>
      <c r="AJ16" s="824"/>
      <c r="AK16" s="791"/>
      <c r="AL16" s="823"/>
      <c r="AM16" s="826"/>
      <c r="AN16" s="826"/>
      <c r="AO16" s="827"/>
      <c r="AP16" s="814"/>
      <c r="AQ16" s="814"/>
      <c r="AR16" s="829"/>
      <c r="AS16" s="829"/>
      <c r="AT16" s="829"/>
      <c r="AU16" s="829"/>
      <c r="AV16" s="842"/>
      <c r="AW16" s="842"/>
      <c r="AX16" s="830"/>
      <c r="AY16" s="830"/>
      <c r="AZ16" s="830"/>
      <c r="BA16" s="830"/>
      <c r="BB16" s="831"/>
      <c r="BC16" s="231"/>
      <c r="BD16" s="231"/>
      <c r="BE16" s="847"/>
      <c r="BF16" s="855"/>
      <c r="BG16" s="855"/>
      <c r="BH16" s="855"/>
      <c r="BI16" s="855"/>
      <c r="BJ16" s="855"/>
      <c r="BK16" s="855"/>
      <c r="BL16" s="855"/>
      <c r="BM16" s="855"/>
    </row>
    <row r="17" spans="1:65" s="753" customFormat="1" ht="15">
      <c r="A17" s="653">
        <f>Datos!AO17</f>
        <v>2</v>
      </c>
      <c r="B17" s="654" t="s">
        <v>437</v>
      </c>
      <c r="C17" s="671" t="str">
        <f>Datos!A17</f>
        <v xml:space="preserve">Jdos. 1ª Instª. e Instr.                        </v>
      </c>
      <c r="D17" s="544"/>
      <c r="E17" s="818"/>
      <c r="F17" s="802"/>
      <c r="G17" s="803"/>
      <c r="H17" s="802"/>
      <c r="I17" s="804"/>
      <c r="J17" s="804"/>
      <c r="K17" s="804"/>
      <c r="L17" s="801"/>
      <c r="M17" s="801"/>
      <c r="N17" s="804"/>
      <c r="O17" s="804"/>
      <c r="P17" s="804"/>
      <c r="Q17" s="805"/>
      <c r="R17" s="805"/>
      <c r="S17" s="804" t="str">
        <f>IF(ISNUMBER(Datos!AS17*(2500/380)+DatosP!#REF!),Datos!AS17*(2500/380)+DatosP!#REF!," - ")</f>
        <v xml:space="preserve"> - </v>
      </c>
      <c r="T17" s="804"/>
      <c r="U17" s="806" t="str">
        <f>IF(ISNUMBER(S17/((Datos!BM17+DatosP!#REF!)/factor_trimestre)),S17/((Datos!BM17+DatosP!#REF!)/factor_trimestre)," - ")</f>
        <v xml:space="preserve"> - </v>
      </c>
      <c r="V17" s="806"/>
      <c r="W17" s="804"/>
      <c r="X17" s="1175"/>
      <c r="Y17" s="930"/>
      <c r="Z17" s="802"/>
      <c r="AA17" s="859"/>
      <c r="AB17" s="802"/>
      <c r="AC17" s="802"/>
      <c r="AD17" s="804"/>
      <c r="AE17" s="804"/>
      <c r="AF17" s="807"/>
      <c r="AG17" s="807"/>
      <c r="AH17" s="808"/>
      <c r="AI17" s="808"/>
      <c r="AJ17" s="801"/>
      <c r="AK17" s="809"/>
      <c r="AL17" s="802"/>
      <c r="AM17" s="811"/>
      <c r="AN17" s="811"/>
      <c r="AO17" s="812"/>
      <c r="AP17" s="814"/>
      <c r="AQ17" s="814"/>
      <c r="AR17" s="815"/>
      <c r="AS17" s="815"/>
      <c r="AT17" s="815"/>
      <c r="AU17" s="815"/>
      <c r="AV17" s="816"/>
      <c r="AW17" s="816"/>
      <c r="AX17" s="818"/>
      <c r="AY17" s="818"/>
      <c r="AZ17" s="818"/>
      <c r="BA17" s="818"/>
      <c r="BB17" s="819"/>
      <c r="BC17" s="231"/>
      <c r="BD17" s="231"/>
      <c r="BE17" s="802"/>
      <c r="BF17" s="820"/>
      <c r="BG17" s="820"/>
      <c r="BH17" s="820"/>
      <c r="BI17" s="820"/>
      <c r="BJ17" s="820"/>
      <c r="BK17" s="820"/>
      <c r="BL17" s="820"/>
      <c r="BM17" s="820"/>
    </row>
    <row r="18" spans="1:65" s="753" customFormat="1" ht="14.25">
      <c r="A18" s="653">
        <f>Datos!AO18</f>
        <v>1</v>
      </c>
      <c r="B18" s="654" t="s">
        <v>437</v>
      </c>
      <c r="C18" s="655" t="str">
        <f>Datos!A18</f>
        <v>Jdos. Violencia contra la mujer</v>
      </c>
      <c r="D18" s="549"/>
      <c r="E18" s="818"/>
      <c r="F18" s="802"/>
      <c r="G18" s="803"/>
      <c r="H18" s="802"/>
      <c r="I18" s="804"/>
      <c r="J18" s="804"/>
      <c r="K18" s="804"/>
      <c r="L18" s="801"/>
      <c r="M18" s="801"/>
      <c r="N18" s="804"/>
      <c r="O18" s="821"/>
      <c r="P18" s="804"/>
      <c r="Q18" s="805"/>
      <c r="R18" s="805"/>
      <c r="S18" s="804"/>
      <c r="T18" s="804"/>
      <c r="U18" s="806"/>
      <c r="V18" s="806"/>
      <c r="W18" s="804"/>
      <c r="X18" s="1175"/>
      <c r="Y18" s="930"/>
      <c r="Z18" s="802"/>
      <c r="AA18" s="859"/>
      <c r="AB18" s="802"/>
      <c r="AC18" s="802"/>
      <c r="AD18" s="804"/>
      <c r="AE18" s="804"/>
      <c r="AF18" s="807"/>
      <c r="AG18" s="807"/>
      <c r="AH18" s="808"/>
      <c r="AI18" s="808"/>
      <c r="AJ18" s="801"/>
      <c r="AK18" s="809"/>
      <c r="AL18" s="802"/>
      <c r="AM18" s="811"/>
      <c r="AN18" s="811"/>
      <c r="AO18" s="812"/>
      <c r="AP18" s="814"/>
      <c r="AQ18" s="814"/>
      <c r="AR18" s="815"/>
      <c r="AS18" s="815"/>
      <c r="AT18" s="815"/>
      <c r="AU18" s="815"/>
      <c r="AV18" s="816"/>
      <c r="AW18" s="816"/>
      <c r="AX18" s="818"/>
      <c r="AY18" s="818"/>
      <c r="AZ18" s="818"/>
      <c r="BA18" s="830"/>
      <c r="BB18" s="819"/>
      <c r="BC18" s="502"/>
      <c r="BD18" s="502"/>
      <c r="BE18" s="802"/>
      <c r="BF18" s="820"/>
      <c r="BG18" s="820"/>
      <c r="BH18" s="820"/>
      <c r="BI18" s="820"/>
      <c r="BJ18" s="820"/>
      <c r="BK18" s="820"/>
      <c r="BL18" s="820"/>
      <c r="BM18" s="820"/>
    </row>
    <row r="19" spans="1:65" s="753" customFormat="1" ht="15" thickBot="1">
      <c r="A19" s="653">
        <f>Datos!AO19</f>
        <v>0</v>
      </c>
      <c r="B19" s="654" t="s">
        <v>437</v>
      </c>
      <c r="C19" s="655" t="str">
        <f>Datos!A19</f>
        <v xml:space="preserve">Jdos. de Menores                                </v>
      </c>
      <c r="D19" s="549"/>
      <c r="E19" s="818"/>
      <c r="F19" s="802"/>
      <c r="G19" s="803"/>
      <c r="H19" s="802"/>
      <c r="I19" s="821"/>
      <c r="J19" s="804"/>
      <c r="K19" s="804"/>
      <c r="L19" s="801"/>
      <c r="M19" s="801"/>
      <c r="N19" s="804"/>
      <c r="O19" s="821"/>
      <c r="P19" s="821"/>
      <c r="Q19" s="805"/>
      <c r="R19" s="805"/>
      <c r="S19" s="821"/>
      <c r="T19" s="821"/>
      <c r="U19" s="806"/>
      <c r="V19" s="806"/>
      <c r="W19" s="821"/>
      <c r="X19" s="1176"/>
      <c r="Y19" s="932"/>
      <c r="Z19" s="802"/>
      <c r="AA19" s="859"/>
      <c r="AB19" s="802"/>
      <c r="AC19" s="802"/>
      <c r="AD19" s="804"/>
      <c r="AE19" s="804"/>
      <c r="AF19" s="807"/>
      <c r="AG19" s="807"/>
      <c r="AH19" s="808"/>
      <c r="AI19" s="808"/>
      <c r="AJ19" s="801"/>
      <c r="AK19" s="809"/>
      <c r="AL19" s="802"/>
      <c r="AM19" s="811"/>
      <c r="AN19" s="811"/>
      <c r="AO19" s="812"/>
      <c r="AP19" s="814"/>
      <c r="AQ19" s="814"/>
      <c r="AR19" s="815"/>
      <c r="AS19" s="815"/>
      <c r="AT19" s="815"/>
      <c r="AU19" s="815"/>
      <c r="AV19" s="816"/>
      <c r="AW19" s="816"/>
      <c r="AX19" s="818"/>
      <c r="AY19" s="818"/>
      <c r="AZ19" s="818"/>
      <c r="BA19" s="830"/>
      <c r="BB19" s="819"/>
      <c r="BC19" s="231"/>
      <c r="BD19" s="231"/>
      <c r="BE19" s="802"/>
      <c r="BF19" s="820"/>
      <c r="BG19" s="820"/>
      <c r="BH19" s="820"/>
      <c r="BI19" s="820"/>
      <c r="BJ19" s="820"/>
      <c r="BK19" s="820"/>
      <c r="BL19" s="820"/>
      <c r="BM19" s="820"/>
    </row>
    <row r="20" spans="1:65" ht="15.75" thickTop="1" thickBot="1">
      <c r="A20" s="832"/>
      <c r="B20" s="832"/>
      <c r="C20" s="1083" t="str">
        <f>Datos!A20</f>
        <v>TOTAL</v>
      </c>
      <c r="D20" s="1084"/>
      <c r="E20" s="1084">
        <f>SUBTOTAL(9,E16:E19)</f>
        <v>0</v>
      </c>
      <c r="F20" s="1085">
        <f>SUBTOTAL(9,F16:F19)</f>
        <v>0</v>
      </c>
      <c r="G20" s="1085">
        <f>SUBTOTAL(9,G16:G19)</f>
        <v>0</v>
      </c>
      <c r="H20" s="1085">
        <f>SUBTOTAL(9,H16:H19)</f>
        <v>0</v>
      </c>
      <c r="I20" s="1087">
        <f>SUBTOTAL(9,I15:I19)</f>
        <v>0</v>
      </c>
      <c r="J20" s="1086">
        <f t="shared" ref="J20:V20" si="2">SUBTOTAL(9,J16:J19)</f>
        <v>0</v>
      </c>
      <c r="K20" s="1086">
        <f t="shared" si="2"/>
        <v>0</v>
      </c>
      <c r="L20" s="1088">
        <f t="shared" si="2"/>
        <v>0</v>
      </c>
      <c r="M20" s="1088">
        <f t="shared" si="2"/>
        <v>0</v>
      </c>
      <c r="N20" s="1086">
        <f t="shared" si="2"/>
        <v>0</v>
      </c>
      <c r="O20" s="1086">
        <f t="shared" si="2"/>
        <v>0</v>
      </c>
      <c r="P20" s="1086">
        <f t="shared" si="2"/>
        <v>0</v>
      </c>
      <c r="Q20" s="1089">
        <f t="shared" si="2"/>
        <v>0</v>
      </c>
      <c r="R20" s="1089">
        <f t="shared" si="2"/>
        <v>0</v>
      </c>
      <c r="S20" s="1086">
        <f t="shared" si="2"/>
        <v>0</v>
      </c>
      <c r="T20" s="1086">
        <f t="shared" si="2"/>
        <v>0</v>
      </c>
      <c r="U20" s="1089">
        <f t="shared" si="2"/>
        <v>0</v>
      </c>
      <c r="V20" s="1089">
        <f t="shared" si="2"/>
        <v>0</v>
      </c>
      <c r="W20" s="1171">
        <v>0</v>
      </c>
      <c r="X20" s="1177">
        <v>0</v>
      </c>
      <c r="Y20" s="1088">
        <f>SUBTOTAL(9,Y16:Y19)</f>
        <v>0</v>
      </c>
      <c r="Z20" s="1086">
        <f>SUBTOTAL(9,Z16:Z19)</f>
        <v>0</v>
      </c>
      <c r="AA20" s="1090" t="str">
        <f>IF(ISNUMBER((Z20*factor_trimestre)/Datos!CN20),(Z20*factor_trimestre)/Datos!CN20,"-")</f>
        <v>-</v>
      </c>
      <c r="AB20" s="1086">
        <f t="shared" ref="AB20:AO20" si="3">SUBTOTAL(9,AB16:AB19)</f>
        <v>0</v>
      </c>
      <c r="AC20" s="1086">
        <f t="shared" si="3"/>
        <v>0</v>
      </c>
      <c r="AD20" s="1086">
        <f t="shared" si="3"/>
        <v>0</v>
      </c>
      <c r="AE20" s="1086">
        <f t="shared" si="3"/>
        <v>0</v>
      </c>
      <c r="AF20" s="1086">
        <f t="shared" si="3"/>
        <v>0</v>
      </c>
      <c r="AG20" s="1086">
        <f t="shared" si="3"/>
        <v>0</v>
      </c>
      <c r="AH20" s="1086">
        <f t="shared" si="3"/>
        <v>0</v>
      </c>
      <c r="AI20" s="1086">
        <f t="shared" si="3"/>
        <v>0</v>
      </c>
      <c r="AJ20" s="1086">
        <f t="shared" si="3"/>
        <v>0</v>
      </c>
      <c r="AK20" s="1086">
        <f t="shared" si="3"/>
        <v>0</v>
      </c>
      <c r="AL20" s="1086">
        <f t="shared" si="3"/>
        <v>0</v>
      </c>
      <c r="AM20" s="1086">
        <f t="shared" si="3"/>
        <v>0</v>
      </c>
      <c r="AN20" s="1086">
        <f t="shared" si="3"/>
        <v>0</v>
      </c>
      <c r="AO20" s="1086">
        <f t="shared" si="3"/>
        <v>0</v>
      </c>
      <c r="AP20" s="1091">
        <f>IF(ISNUMBER(((Datos!L20/Datos!K20)*11)/factor_trimestre),((Datos!L20/Datos!K20)*11)/factor_trimestre," - ")</f>
        <v>1.2912000000000001</v>
      </c>
      <c r="AQ20" s="1091">
        <f>IF(ISNUMBER(((Datos!M20/Datos!L20)*11)/factor_trimestre),((Datos!M20/Datos!L20)*11)/factor_trimestre," - ")</f>
        <v>1.0148698884758365</v>
      </c>
      <c r="AR20" s="1086">
        <f>SUBTOTAL(9,AR16:AR19)</f>
        <v>0</v>
      </c>
      <c r="AS20" s="1086">
        <f>SUBTOTAL(9,AS16:AS19)</f>
        <v>0</v>
      </c>
      <c r="AT20" s="1092" t="str">
        <f>IF(ISNUMBER((H20-AB20+K20)/(F20-K20)),(H20-AB20+K20)/(F20-K20)," - ")</f>
        <v xml:space="preserve"> - </v>
      </c>
      <c r="AU20" s="1092" t="str">
        <f>IF(ISNUMBER((I20-AC20+L20)/(G20-L20)),(I20-AC20+L20)/(G20-L20)," - ")</f>
        <v xml:space="preserve"> - </v>
      </c>
      <c r="AV20" s="1093">
        <f>IF(ISNUMBER((Datos!P20-Datos!Q20)/(Datos!R20-Datos!P20+Datos!Q20)),(Datos!P20-Datos!Q20)/(Datos!R20-Datos!P20+Datos!Q20)," - ")</f>
        <v>-0.43396226415094341</v>
      </c>
      <c r="AW20" s="1093">
        <f>IF(ISNUMBER((Datos!Q20-Datos!R20)/(Datos!S20-Datos!Q20+Datos!R20)),(Datos!Q20-Datos!R20)/(Datos!S20-Datos!Q20+Datos!R20)," - ")</f>
        <v>8.7336244541484712E-3</v>
      </c>
      <c r="AX20" s="1086">
        <f>SUBTOTAL(9,AX16:AX19)</f>
        <v>0</v>
      </c>
      <c r="AY20" s="1086">
        <f>SUBTOTAL(9,AY16:AY19)</f>
        <v>0</v>
      </c>
      <c r="AZ20" s="1086"/>
      <c r="BA20" s="1086"/>
      <c r="BB20" s="1094"/>
      <c r="BC20" s="238">
        <f>SUBTOTAL(9,BC15:BC19)</f>
        <v>0</v>
      </c>
      <c r="BD20" s="238">
        <f>SUBTOTAL(9,BD15:BD19)</f>
        <v>0</v>
      </c>
      <c r="BE20" s="833">
        <f>SUBTOTAL(9,BE16:BE19)</f>
        <v>0</v>
      </c>
      <c r="BF20" s="834"/>
      <c r="BG20" s="834"/>
      <c r="BH20" s="834"/>
      <c r="BI20" s="834"/>
      <c r="BJ20" s="834"/>
      <c r="BK20" s="834"/>
      <c r="BL20" s="834"/>
      <c r="BM20" s="834"/>
    </row>
    <row r="21" spans="1:65" ht="18.75" customHeight="1" thickTop="1" thickBot="1">
      <c r="A21" s="862"/>
      <c r="B21" s="862"/>
      <c r="C21" s="1096" t="str">
        <f>Datos!A21</f>
        <v>TOTAL JURISDICCIONES</v>
      </c>
      <c r="D21" s="1096"/>
      <c r="E21" s="1097">
        <f t="shared" ref="E21:T21" si="4">SUBTOTAL(9,E9:E20)</f>
        <v>2</v>
      </c>
      <c r="F21" s="1098">
        <f t="shared" si="4"/>
        <v>1</v>
      </c>
      <c r="G21" s="1098">
        <f t="shared" si="4"/>
        <v>1</v>
      </c>
      <c r="H21" s="1098">
        <f t="shared" si="4"/>
        <v>0</v>
      </c>
      <c r="I21" s="1099">
        <f t="shared" si="4"/>
        <v>0</v>
      </c>
      <c r="J21" s="1100">
        <f t="shared" si="4"/>
        <v>0</v>
      </c>
      <c r="K21" s="1100">
        <f t="shared" si="4"/>
        <v>0</v>
      </c>
      <c r="L21" s="1100">
        <f t="shared" si="4"/>
        <v>0</v>
      </c>
      <c r="M21" s="1100">
        <f t="shared" si="4"/>
        <v>0</v>
      </c>
      <c r="N21" s="1099">
        <f t="shared" si="4"/>
        <v>77</v>
      </c>
      <c r="O21" s="1099">
        <f t="shared" si="4"/>
        <v>0</v>
      </c>
      <c r="P21" s="1099">
        <f t="shared" si="4"/>
        <v>0</v>
      </c>
      <c r="Q21" s="1132">
        <f t="shared" si="4"/>
        <v>0</v>
      </c>
      <c r="R21" s="1132">
        <f t="shared" si="4"/>
        <v>0</v>
      </c>
      <c r="S21" s="1099">
        <f t="shared" si="4"/>
        <v>0</v>
      </c>
      <c r="T21" s="1099">
        <f t="shared" si="4"/>
        <v>0</v>
      </c>
      <c r="U21" s="1101">
        <f>IF(ISNUMBER(AVERAGE(U8:U20)),AVERAGE(U8:U20),"-")</f>
        <v>0</v>
      </c>
      <c r="V21" s="1101">
        <f>IF(ISNUMBER(AVERAGE(V8:V20)),AVERAGE(V8:V20),"-")</f>
        <v>0</v>
      </c>
      <c r="W21" s="1172">
        <f>SUBTOTAL(9,W9:W20)</f>
        <v>0</v>
      </c>
      <c r="X21" s="1101">
        <f>IF(ISNUMBER(AVERAGE(X8:X20)),AVERAGE(X8:X20),"-")</f>
        <v>0</v>
      </c>
      <c r="Y21" s="1133">
        <f>SUBTOTAL(9,Y9:Y20)</f>
        <v>0</v>
      </c>
      <c r="Z21" s="1102">
        <f>SUBTOTAL(9,Z9:Z20)</f>
        <v>0</v>
      </c>
      <c r="AA21" s="1103">
        <f>IF(ISNUMBER(AVERAGE(AA8:AA20)),AVERAGE(AA8:AA20),"-")</f>
        <v>0</v>
      </c>
      <c r="AB21" s="1104">
        <f t="shared" ref="AB21:AO21" si="5">SUBTOTAL(9,AB9:AB20)</f>
        <v>1</v>
      </c>
      <c r="AC21" s="1104">
        <f t="shared" si="5"/>
        <v>0</v>
      </c>
      <c r="AD21" s="1104">
        <f t="shared" si="5"/>
        <v>33</v>
      </c>
      <c r="AE21" s="1104">
        <f t="shared" si="5"/>
        <v>0</v>
      </c>
      <c r="AF21" s="1105">
        <f t="shared" si="5"/>
        <v>2</v>
      </c>
      <c r="AG21" s="1105">
        <f t="shared" si="5"/>
        <v>0</v>
      </c>
      <c r="AH21" s="1105">
        <f t="shared" si="5"/>
        <v>1356</v>
      </c>
      <c r="AI21" s="1105">
        <f t="shared" si="5"/>
        <v>0</v>
      </c>
      <c r="AJ21" s="1106">
        <f t="shared" si="5"/>
        <v>0</v>
      </c>
      <c r="AK21" s="1106">
        <f t="shared" si="5"/>
        <v>0</v>
      </c>
      <c r="AL21" s="1098">
        <f t="shared" si="5"/>
        <v>84</v>
      </c>
      <c r="AM21" s="1098">
        <f t="shared" si="5"/>
        <v>114</v>
      </c>
      <c r="AN21" s="1098">
        <f t="shared" si="5"/>
        <v>0</v>
      </c>
      <c r="AO21" s="1098">
        <f t="shared" si="5"/>
        <v>0</v>
      </c>
      <c r="AP21" s="1098">
        <f>IF(ISNUMBER(((Datos!L21/Datos!K21)*11)/factor_trimestre),((Datos!L21/Datos!K21)*11)/factor_trimestre," - ")</f>
        <v>4.3953488372093021</v>
      </c>
      <c r="AQ21" s="1098" t="str">
        <f>IF(ISNUMBER(((DatosP!L21/DatosP!K21)*11)/factor_trimestre),((DatosP!L21/DatosP!K21)*11)/factor_trimestre," - ")</f>
        <v xml:space="preserve"> - </v>
      </c>
      <c r="AR21" s="1109" t="str">
        <f>IF(ISNUMBER(Datos!CI21/Datos!CJ21),Datos!CI21/Datos!CJ21," - ")</f>
        <v xml:space="preserve"> - </v>
      </c>
      <c r="AS21" s="1109" t="str">
        <f>IF(ISNUMBER(DatosP!CI21/DatosP!CJ21),DatosP!CI21/DatosP!CJ21," - ")</f>
        <v xml:space="preserve"> - </v>
      </c>
      <c r="AT21" s="1110">
        <f>IF(OR(ISNUMBER(FIND("04",Criterios!A8,1))),(BC21-AB21+J21)/(F21-J21),(H21-AB21+J21)/(F21-J21))</f>
        <v>-1</v>
      </c>
      <c r="AU21" s="1110" t="e">
        <f>IF(ISNUMBER(FIND("04",Criterios!A8,1)),(DatosP!DC21-DatosP!K21+DatosP!DF21)/(DatosP!L21+DatosP!K21-DatosP!J21-DatosP!DF21),(DatosP!DB21-DatosP!K21+DatosP!DF21)/(DatosP!L21+DatosP!K21-DatosP!J21-DatosP!DF21))</f>
        <v>#DIV/0!</v>
      </c>
      <c r="AV21" s="1111">
        <f>IF(ISNUMBER((Datos!P21-Datos!Q21+Datos!DE21)/(Datos!R21-Datos!P21+Datos!Q21-Datos!DE21)),(Datos!P21-Datos!Q21+Datos!DE21)/(Datos!R21-Datos!P21+Datos!Q21-Datos!DE21)," - ")</f>
        <v>1.5306122448979591E-2</v>
      </c>
      <c r="AW21" s="1111" t="str">
        <f>IF(ISNUMBER((DatosP!P21-DatosP!Q21+DatosP!DE21)/(DatosP!R21-DatosP!P21+DatosP!Q21-DatosP!DE21)),(DatosP!P21-DatosP!Q21+DatosP!DE21)/(DatosP!R21-DatosP!P21+DatosP!Q21-DatosP!DE21)," - ")</f>
        <v xml:space="preserve"> - </v>
      </c>
      <c r="AX21" s="1113">
        <f>SUBTOTAL(9,AX9:AX20)</f>
        <v>0</v>
      </c>
      <c r="AY21" s="1113">
        <f>SUBTOTAL(9,AY9:AY20)</f>
        <v>0</v>
      </c>
      <c r="AZ21" s="1114"/>
      <c r="BA21" s="1114"/>
      <c r="BB21" s="1115"/>
      <c r="BC21" s="289">
        <f>SUBTOTAL(9,BC9:BC20)</f>
        <v>0</v>
      </c>
      <c r="BD21" s="289">
        <f>SUBTOTAL(9,BD9:BD20)</f>
        <v>0</v>
      </c>
      <c r="BE21" s="863">
        <f>SUBTOTAL(9,BE9:BE20)</f>
        <v>0</v>
      </c>
      <c r="BF21" s="865"/>
      <c r="BG21" s="865"/>
      <c r="BH21" s="865"/>
      <c r="BI21" s="865"/>
      <c r="BJ21" s="865"/>
      <c r="BK21" s="865"/>
      <c r="BL21" s="865"/>
      <c r="BM21" s="865"/>
    </row>
    <row r="22" spans="1:65" ht="18.75" customHeight="1" thickTop="1" thickBot="1">
      <c r="A22" s="866"/>
      <c r="B22" s="866"/>
      <c r="C22" s="1116" t="s">
        <v>291</v>
      </c>
      <c r="D22" s="1117"/>
      <c r="E22" s="1117">
        <f ca="1">IF(ISNUMBER(SUMIF($B8:$B20,$B22,E8:E20)/INDIRECT("Datos!AP"&amp;ROW()-1)),SUMIF($B8:$B20,$B22,E8:E20)/INDIRECT("Datos!AP"&amp;ROW()-1),"-")</f>
        <v>0</v>
      </c>
      <c r="F22" s="1108">
        <f ca="1">IF(ISNUMBER(SUMIF($B8:$B20,$B22,F8:F20)/INDIRECT("Datos!AP"&amp;ROW()-1)),SUMIF($B8:$B20,$B22,F8:F20)/INDIRECT("Datos!AP"&amp;ROW()-1),"-")</f>
        <v>0</v>
      </c>
      <c r="G22" s="1118">
        <f>IF(ISNUMBER(AVERAGE(G8:G20)),AVERAGE(G8:G20),"-")</f>
        <v>0.66666666666666663</v>
      </c>
      <c r="H22" s="1108">
        <f t="shared" ref="H22:S22" ca="1" si="6">IF(ISNUMBER(SUMIF($B8:$B20,$B22,H8:H20)/INDIRECT("Datos!AP"&amp;ROW()-1)),SUMIF($B8:$B20,$B22,H8:H20)/INDIRECT("Datos!AP"&amp;ROW()-1),"-")</f>
        <v>0</v>
      </c>
      <c r="I22" s="1119">
        <f t="shared" ca="1" si="6"/>
        <v>0</v>
      </c>
      <c r="J22" s="1119">
        <f t="shared" ca="1" si="6"/>
        <v>0</v>
      </c>
      <c r="K22" s="1119">
        <f t="shared" ca="1" si="6"/>
        <v>0</v>
      </c>
      <c r="L22" s="1119">
        <f t="shared" ca="1" si="6"/>
        <v>0</v>
      </c>
      <c r="M22" s="1119">
        <f t="shared" ca="1" si="6"/>
        <v>0</v>
      </c>
      <c r="N22" s="1119">
        <f t="shared" ca="1" si="6"/>
        <v>0</v>
      </c>
      <c r="O22" s="1119">
        <f t="shared" ca="1" si="6"/>
        <v>0</v>
      </c>
      <c r="P22" s="1119">
        <f t="shared" ca="1" si="6"/>
        <v>0</v>
      </c>
      <c r="Q22" s="1120">
        <f t="shared" ca="1" si="6"/>
        <v>0</v>
      </c>
      <c r="R22" s="1120">
        <f t="shared" ca="1" si="6"/>
        <v>0</v>
      </c>
      <c r="S22" s="1119">
        <f t="shared" ca="1" si="6"/>
        <v>0</v>
      </c>
      <c r="T22" s="1119" t="str">
        <f ca="1">IF(ISNUMBER(SUMIF($B8:$B20,$B22,T8:T20)/INDIRECT("DatosP!AP"&amp;ROW()-1)),SUMIF($B8:$B20,$B22,T8:T20)/INDIRECT("DatosP!AP"&amp;ROW()-1),"-")</f>
        <v>-</v>
      </c>
      <c r="U22" s="1121">
        <f ca="1">IF(ISNUMBER(SUMIF($B8:$B20,$B22,U8:U20)/INDIRECT("Datos!AP"&amp;ROW()-1)),SUMIF($B8:$B20,$B22,U8:U20)/INDIRECT("Datos!AP"&amp;ROW()-1),"-")</f>
        <v>0</v>
      </c>
      <c r="V22" s="1121">
        <f ca="1">IF(ISNUMBER(SUMIF($B8:$B20,$B22,V8:V20)/INDIRECT("Datos!AP"&amp;ROW()-1)),SUMIF($B8:$B20,$B22,V8:V20)/INDIRECT("Datos!AP"&amp;ROW()-1),"-")</f>
        <v>0</v>
      </c>
      <c r="W22" s="1119" t="str">
        <f ca="1">IF(ISNUMBER(SUMIF($B8:$B20,$B22,W8:W20)/INDIRECT("DatosP!AP"&amp;ROW()-1)),SUMIF($B8:$B20,$B22,W8:W20)/INDIRECT("DatosP!AP"&amp;ROW()-1),"-")</f>
        <v>-</v>
      </c>
      <c r="X22" s="1121">
        <f t="shared" ref="X22:AP22" ca="1" si="7">IF(ISNUMBER(SUMIF($B8:$B20,$B22,X8:X20)/INDIRECT("Datos!AP"&amp;ROW()-1)),SUMIF($B8:$B20,$B22,X8:X20)/INDIRECT("Datos!AP"&amp;ROW()-1),"-")</f>
        <v>0</v>
      </c>
      <c r="Y22" s="1134">
        <f t="shared" ca="1" si="7"/>
        <v>0</v>
      </c>
      <c r="Z22" s="1122">
        <f t="shared" ca="1" si="7"/>
        <v>0</v>
      </c>
      <c r="AA22" s="1123">
        <f t="shared" ca="1" si="7"/>
        <v>0</v>
      </c>
      <c r="AB22" s="1124">
        <f t="shared" ca="1" si="7"/>
        <v>0</v>
      </c>
      <c r="AC22" s="1124">
        <f t="shared" ca="1" si="7"/>
        <v>0</v>
      </c>
      <c r="AD22" s="1124">
        <f t="shared" ca="1" si="7"/>
        <v>0</v>
      </c>
      <c r="AE22" s="1124">
        <f t="shared" ca="1" si="7"/>
        <v>0</v>
      </c>
      <c r="AF22" s="1124">
        <f t="shared" ca="1" si="7"/>
        <v>0</v>
      </c>
      <c r="AG22" s="1124">
        <f t="shared" ca="1" si="7"/>
        <v>0</v>
      </c>
      <c r="AH22" s="1124">
        <f t="shared" ca="1" si="7"/>
        <v>0</v>
      </c>
      <c r="AI22" s="1124">
        <f t="shared" ca="1" si="7"/>
        <v>0</v>
      </c>
      <c r="AJ22" s="1119">
        <f t="shared" ca="1" si="7"/>
        <v>0</v>
      </c>
      <c r="AK22" s="1126">
        <f t="shared" ca="1" si="7"/>
        <v>0</v>
      </c>
      <c r="AL22" s="1108">
        <f t="shared" ca="1" si="7"/>
        <v>0</v>
      </c>
      <c r="AM22" s="1108">
        <f t="shared" ca="1" si="7"/>
        <v>0</v>
      </c>
      <c r="AN22" s="1108">
        <f t="shared" ca="1" si="7"/>
        <v>0</v>
      </c>
      <c r="AO22" s="1119">
        <f t="shared" ca="1" si="7"/>
        <v>0</v>
      </c>
      <c r="AP22" s="1119">
        <f t="shared" ca="1" si="7"/>
        <v>0</v>
      </c>
      <c r="AQ22" s="1119" t="str">
        <f ca="1">IF(ISNUMBER(SUMIF($B8:$B20,$B22,AQ8:AQ20)/INDIRECT("DatosP!AP"&amp;ROW()-1)),SUMIF($B8:$B20,$B22,AQ8:AQ20)/INDIRECT("DatosP!AP"&amp;ROW()-1),"-")</f>
        <v>-</v>
      </c>
      <c r="AR22" s="1127" t="e">
        <f ca="1">INDIRECT("Datos!CI"&amp;ROW()-1)/INDIRECT("Datos!CJ"&amp;ROW()-1)</f>
        <v>#DIV/0!</v>
      </c>
      <c r="AS22" s="1127" t="e">
        <f ca="1">INDIRECT("DatosP!CI"&amp;ROW()-1)/INDIRECT("DatosP!CJ"&amp;ROW()-1)</f>
        <v>#DIV/0!</v>
      </c>
      <c r="AT22" s="1110" t="e">
        <f ca="1">IF(OR(ISNUMBER(FIND("04",Criterios!A8,1))),(BC22-AB22+J22)/(F22-J22),(H22-AB22+J22)/(F22-J22))</f>
        <v>#DIV/0!</v>
      </c>
      <c r="AU22" s="1110" t="str">
        <f ca="1">(INDIRECT("AW"&amp;ROW()-1))</f>
        <v xml:space="preserve"> - </v>
      </c>
      <c r="AV22" s="1128">
        <f ca="1">IF(ISNUMBER(SUMIF($B8:$B20,$B22,AV8:AV20)/INDIRECT("Datos!AP"&amp;ROW()-1)),SUMIF($B8:$B20,$B22,AV8:AV20)/INDIRECT("Datos!AP"&amp;ROW()-1),"-")</f>
        <v>0</v>
      </c>
      <c r="AW22" s="1128">
        <f ca="1">IF(ISNUMBER(SUMIF($B8:$B20,$B22,AW8:AW20)/INDIRECT("Datos!AP"&amp;ROW()-1)),SUMIF($B8:$B20,$B22,AW8:AW20)/INDIRECT("Datos!AP"&amp;ROW()-1),"-")</f>
        <v>0</v>
      </c>
      <c r="AX22" s="1130">
        <f ca="1">IF(ISNUMBER(SUMIF($B8:$B20,$B22,AX8:AX20)/INDIRECT("Datos!AP"&amp;ROW()-1)),SUMIF($B8:$B20,$B22,AX8:AX20)/INDIRECT("Datos!AP"&amp;ROW()-1),"-")</f>
        <v>0</v>
      </c>
      <c r="AY22" s="1130">
        <f ca="1">IF(ISNUMBER(SUMIF($B8:$B20,$B22,AY8:AY20)/INDIRECT("Datos!AP"&amp;ROW()-1)),SUMIF($B8:$B20,$B22,AY8:AY20)/INDIRECT("Datos!AP"&amp;ROW()-1),"-")</f>
        <v>0</v>
      </c>
      <c r="AZ22" s="1130"/>
      <c r="BA22" s="1130"/>
      <c r="BB22" s="1131"/>
      <c r="BC22" s="253">
        <f ca="1">IF(ISNUMBER(SUMIF($B8:$B20,$B22,BC8:BC20)/INDIRECT("Datos!AP"&amp;ROW()-1)),SUMIF($B8:$B20,$B22,BC8:BC20)/INDIRECT("Datos!AP"&amp;ROW()-1),"-")</f>
        <v>0</v>
      </c>
      <c r="BD22" s="253">
        <f ca="1">IF(ISNUMBER(SUMIF($B8:$B20,$B22,BD8:BD20)/INDIRECT("Datos!AP"&amp;ROW()-1)),SUMIF($B8:$B20,$B22,BD8:BD20)/INDIRECT("Datos!AP"&amp;ROW()-1),"-")</f>
        <v>0</v>
      </c>
      <c r="BE22" s="864">
        <f ca="1">IF(ISNUMBER(SUMIF($B8:$B20,$B22,BE8:BE20)/INDIRECT("Datos!AP"&amp;ROW()-1)),SUMIF($B8:$B20,$B22,BE8:BE20)/INDIRECT("Datos!AP"&amp;ROW()-1),"-")</f>
        <v>0</v>
      </c>
    </row>
    <row r="23" spans="1:65" ht="18.75" hidden="1" customHeight="1">
      <c r="A23" s="867"/>
      <c r="B23" s="867"/>
      <c r="C23" s="867" t="s">
        <v>292</v>
      </c>
      <c r="D23" s="868"/>
      <c r="E23" s="869">
        <f>IF(ISNUMBER(STDEV(E8:E20)),STDEV(E8:E20),"-")</f>
        <v>0.9759000729485332</v>
      </c>
      <c r="F23" s="870">
        <f>IF(ISNUMBER(STDEV(F8:F20)),STDEV(F8:F20),"-")</f>
        <v>0.57735026918962584</v>
      </c>
      <c r="G23" s="871">
        <f>IF(ISNUMBER(STDEV(G8:G20)),STDEV(G8:G20),"-")</f>
        <v>0.57735026918962584</v>
      </c>
      <c r="H23" s="870">
        <f>IF(ISNUMBER(STDEV(H8:H20)),STDEV(H8:H20),"-")</f>
        <v>0</v>
      </c>
      <c r="I23" s="873">
        <f>IF(ISNUMBER(STDEV(I8:I20)),STDEV(I8:I20),"-")</f>
        <v>0</v>
      </c>
      <c r="J23" s="872"/>
      <c r="K23" s="872"/>
      <c r="L23" s="872"/>
      <c r="M23" s="872"/>
      <c r="N23" s="872"/>
      <c r="O23" s="872"/>
      <c r="P23" s="872"/>
      <c r="Q23" s="874"/>
      <c r="R23" s="874"/>
      <c r="S23" s="872"/>
      <c r="T23" s="872"/>
      <c r="U23" s="874"/>
      <c r="V23" s="874"/>
      <c r="W23" s="872"/>
      <c r="X23" s="1178"/>
      <c r="Y23" s="933"/>
      <c r="Z23" s="870">
        <f>IF(ISNUMBER(STDEV(Z8:Z20)),STDEV(Z8:Z20),"-")</f>
        <v>0</v>
      </c>
      <c r="AA23" s="874">
        <f>IF(ISNUMBER(STDEV(AA8:AA20)),STDEV(AA8:AA20),"-")</f>
        <v>0</v>
      </c>
      <c r="AB23" s="872">
        <f>IF(ISNUMBER(STDEV(AB8:AB20)),STDEV(AB8:AB20),"-")</f>
        <v>0.57735026918962584</v>
      </c>
      <c r="AC23" s="872">
        <f>IF(ISNUMBER(STDEV(AC8:AC20)),STDEV(AC8:AC20),"-")</f>
        <v>0</v>
      </c>
      <c r="AD23" s="875"/>
      <c r="AE23" s="875"/>
      <c r="AF23" s="875"/>
      <c r="AG23" s="875"/>
      <c r="AH23" s="875"/>
      <c r="AI23" s="875"/>
      <c r="AJ23" s="876">
        <f>IF(ISNUMBER(STDEV(AJ8:AJ20)),STDEV(AJ8:AJ20),"-")</f>
        <v>0</v>
      </c>
      <c r="AK23" s="878"/>
      <c r="AL23" s="870">
        <f>IF(ISNUMBER(STDEV(AL8:AL20)),STDEV(AL8:AL20),"-")</f>
        <v>47.923550230201712</v>
      </c>
      <c r="AM23" s="870"/>
      <c r="AN23" s="870">
        <f>IF(ISNUMBER(STDEV(AN8:AN20)),STDEV(AN8:AN20),"-")</f>
        <v>0</v>
      </c>
      <c r="AO23" s="876">
        <f>IF(ISNUMBER(STDEV(AO8:AO20)),STDEV(AO8:AO20),"-")</f>
        <v>0</v>
      </c>
      <c r="AP23" s="923">
        <f>IF(ISNUMBER(STDEV(AP8:AP20)),STDEV(AP8:AP20),"-")</f>
        <v>4.5920114382451453</v>
      </c>
      <c r="AQ23" s="923" t="str">
        <f>IF(ISNUMBER(STDEV(AQ8:AQ20)),STDEV(AQ8:AQ20),"-")</f>
        <v>-</v>
      </c>
      <c r="AR23" s="829" t="str">
        <f>IF(ISNUMBER(AT23/AV23),AT23/AV23," - ")</f>
        <v xml:space="preserve"> - </v>
      </c>
      <c r="AS23" s="829" t="str">
        <f>IF(ISNUMBER(AV23/#REF!),AV23/#REF!," - ")</f>
        <v xml:space="preserve"> - </v>
      </c>
      <c r="AT23" s="880" t="str">
        <f>IF(ISNUMBER(STDEV(AT8:AT20)),STDEV(AT8:AT20),"-")</f>
        <v>-</v>
      </c>
      <c r="AU23" s="880" t="str">
        <f>IF(ISNUMBER(STDEV(AU8:AU20)),STDEV(AU8:AU20),"-")</f>
        <v>-</v>
      </c>
      <c r="AV23" s="881"/>
      <c r="AW23" s="881"/>
      <c r="AX23" s="883">
        <f t="shared" ref="AX23:BE23" si="8">IF(ISNUMBER(STDEV(AX8:AX20)),STDEV(AX8:AX20),"-")</f>
        <v>0</v>
      </c>
      <c r="AY23" s="883">
        <f t="shared" si="8"/>
        <v>0</v>
      </c>
      <c r="AZ23" s="884">
        <f t="shared" si="8"/>
        <v>0</v>
      </c>
      <c r="BA23" s="884">
        <f t="shared" si="8"/>
        <v>0</v>
      </c>
      <c r="BB23" s="885">
        <f t="shared" si="8"/>
        <v>0</v>
      </c>
      <c r="BC23" s="259">
        <f t="shared" si="8"/>
        <v>0</v>
      </c>
      <c r="BD23" s="259">
        <f t="shared" si="8"/>
        <v>0</v>
      </c>
      <c r="BE23" s="870">
        <f t="shared" si="8"/>
        <v>0</v>
      </c>
    </row>
    <row r="24" spans="1:65" ht="12" customHeight="1" thickTop="1">
      <c r="C24" s="73"/>
      <c r="D24" s="514"/>
      <c r="F24" s="886"/>
      <c r="G24" s="887"/>
      <c r="H24" s="886"/>
      <c r="J24" s="886"/>
      <c r="K24" s="886"/>
      <c r="L24" s="888"/>
      <c r="M24" s="888"/>
      <c r="N24" s="886"/>
      <c r="O24" s="886"/>
      <c r="P24" s="886"/>
      <c r="Q24" s="889"/>
      <c r="R24" s="889"/>
      <c r="S24" s="886"/>
      <c r="T24" s="886"/>
      <c r="U24" s="889"/>
      <c r="V24" s="889"/>
      <c r="W24" s="886"/>
      <c r="X24" s="1179"/>
      <c r="Y24" s="934"/>
      <c r="Z24" s="886"/>
      <c r="AA24" s="889"/>
      <c r="AB24" s="886"/>
      <c r="AC24" s="886"/>
      <c r="AD24" s="886"/>
      <c r="AE24" s="886"/>
      <c r="AF24" s="886"/>
      <c r="AG24" s="886"/>
      <c r="AH24" s="886"/>
      <c r="AI24" s="886"/>
      <c r="AJ24" s="886"/>
      <c r="AK24" s="886"/>
      <c r="AL24" s="886"/>
      <c r="AM24" s="886"/>
      <c r="AN24" s="886"/>
      <c r="AO24" s="886"/>
      <c r="AP24" s="887"/>
      <c r="AQ24" s="887"/>
      <c r="AR24" s="889"/>
      <c r="AS24" s="889"/>
      <c r="AT24" s="886" t="s">
        <v>466</v>
      </c>
      <c r="AU24" s="886" t="s">
        <v>466</v>
      </c>
      <c r="AV24" s="890"/>
      <c r="AW24" s="890"/>
      <c r="AX24" s="886"/>
      <c r="AY24" s="886"/>
      <c r="AZ24" s="892"/>
      <c r="BA24" s="892"/>
      <c r="BB24" s="893"/>
      <c r="BE24" s="886"/>
    </row>
    <row r="25" spans="1:65" ht="14.25">
      <c r="C25" s="165"/>
      <c r="D25" s="563"/>
      <c r="E25" s="894"/>
      <c r="F25" s="895"/>
      <c r="G25" s="811"/>
      <c r="H25" s="896"/>
      <c r="I25" s="897"/>
      <c r="J25" s="896"/>
      <c r="K25" s="896"/>
      <c r="L25" s="860"/>
      <c r="M25" s="860"/>
      <c r="N25" s="896"/>
      <c r="O25" s="896"/>
      <c r="P25" s="896"/>
      <c r="Q25" s="858"/>
      <c r="R25" s="858"/>
      <c r="S25" s="896"/>
      <c r="T25" s="896"/>
      <c r="U25" s="858"/>
      <c r="V25" s="858"/>
      <c r="W25" s="896"/>
      <c r="X25" s="1176"/>
      <c r="Y25" s="824"/>
      <c r="Z25" s="860"/>
      <c r="AA25" s="858"/>
      <c r="AB25" s="896"/>
      <c r="AC25" s="896"/>
      <c r="AD25" s="898"/>
      <c r="AE25" s="898"/>
      <c r="AF25" s="791"/>
      <c r="AG25" s="791"/>
      <c r="AH25" s="898"/>
      <c r="AI25" s="898"/>
      <c r="AJ25" s="896"/>
      <c r="AK25" s="896"/>
      <c r="AL25" s="896"/>
      <c r="AM25" s="896"/>
      <c r="AN25" s="896"/>
      <c r="AO25" s="896"/>
      <c r="AP25" s="924"/>
      <c r="AQ25" s="924"/>
      <c r="AR25" s="858"/>
      <c r="AS25" s="858"/>
      <c r="AT25" s="858"/>
      <c r="AU25" s="858"/>
      <c r="AV25" s="822"/>
      <c r="AW25" s="822"/>
      <c r="AX25" s="896"/>
      <c r="AY25" s="896"/>
      <c r="AZ25" s="900"/>
      <c r="BA25" s="900"/>
      <c r="BB25" s="900"/>
      <c r="BC25" s="149"/>
      <c r="BD25" s="149"/>
      <c r="BE25" s="895"/>
    </row>
    <row r="26" spans="1:65" ht="14.25">
      <c r="C26" s="7"/>
      <c r="D26" s="567"/>
      <c r="E26" s="894"/>
      <c r="F26" s="895"/>
      <c r="G26" s="811"/>
      <c r="H26" s="896"/>
      <c r="I26" s="897"/>
      <c r="J26" s="896"/>
      <c r="K26" s="896"/>
      <c r="L26" s="860"/>
      <c r="M26" s="860"/>
      <c r="N26" s="896"/>
      <c r="O26" s="896"/>
      <c r="P26" s="896"/>
      <c r="Q26" s="858"/>
      <c r="R26" s="858"/>
      <c r="S26" s="896"/>
      <c r="T26" s="896"/>
      <c r="U26" s="858"/>
      <c r="V26" s="858"/>
      <c r="W26" s="896"/>
      <c r="X26" s="1176"/>
      <c r="Y26" s="824"/>
      <c r="Z26" s="860"/>
      <c r="AA26" s="858"/>
      <c r="AB26" s="896"/>
      <c r="AC26" s="896"/>
      <c r="AD26" s="898"/>
      <c r="AE26" s="898"/>
      <c r="AF26" s="791"/>
      <c r="AG26" s="791"/>
      <c r="AH26" s="898"/>
      <c r="AI26" s="898"/>
      <c r="AJ26" s="896"/>
      <c r="AK26" s="896"/>
      <c r="AL26" s="896"/>
      <c r="AM26" s="896"/>
      <c r="AN26" s="896"/>
      <c r="AO26" s="896"/>
      <c r="AP26" s="924"/>
      <c r="AQ26" s="924"/>
      <c r="AR26" s="858"/>
      <c r="AS26" s="858"/>
      <c r="AT26" s="858"/>
      <c r="AU26" s="858"/>
      <c r="AV26" s="822"/>
      <c r="AW26" s="822"/>
      <c r="AX26" s="896"/>
      <c r="AY26" s="896"/>
      <c r="AZ26" s="900"/>
      <c r="BA26" s="900"/>
      <c r="BB26" s="900"/>
      <c r="BC26" s="149"/>
      <c r="BD26" s="149"/>
      <c r="BE26" s="895"/>
    </row>
    <row r="27" spans="1:65" ht="12.75" hidden="1" customHeight="1">
      <c r="C27" s="568" t="s">
        <v>289</v>
      </c>
      <c r="D27" s="567"/>
      <c r="E27" s="901">
        <f t="shared" ref="E27:AV27" si="9">E25+2*E26</f>
        <v>0</v>
      </c>
      <c r="F27" s="861">
        <f t="shared" si="9"/>
        <v>0</v>
      </c>
      <c r="G27" s="902">
        <f t="shared" si="9"/>
        <v>0</v>
      </c>
      <c r="H27" s="903">
        <f t="shared" si="9"/>
        <v>0</v>
      </c>
      <c r="I27" s="904">
        <f>I25+2*I26</f>
        <v>0</v>
      </c>
      <c r="J27" s="903">
        <f>J25+2*J26</f>
        <v>0</v>
      </c>
      <c r="K27" s="903">
        <f t="shared" si="9"/>
        <v>0</v>
      </c>
      <c r="L27" s="903">
        <f t="shared" si="9"/>
        <v>0</v>
      </c>
      <c r="M27" s="903">
        <f t="shared" si="9"/>
        <v>0</v>
      </c>
      <c r="N27" s="903">
        <f t="shared" si="9"/>
        <v>0</v>
      </c>
      <c r="O27" s="903">
        <f>O25+2*O26</f>
        <v>0</v>
      </c>
      <c r="P27" s="903">
        <f t="shared" si="9"/>
        <v>0</v>
      </c>
      <c r="Q27" s="905">
        <f t="shared" si="9"/>
        <v>0</v>
      </c>
      <c r="R27" s="905">
        <f t="shared" si="9"/>
        <v>0</v>
      </c>
      <c r="S27" s="903">
        <f t="shared" si="9"/>
        <v>0</v>
      </c>
      <c r="T27" s="903">
        <f>T25+2*T26</f>
        <v>0</v>
      </c>
      <c r="U27" s="906">
        <f t="shared" si="9"/>
        <v>0</v>
      </c>
      <c r="V27" s="906">
        <f>V25+2*V26</f>
        <v>0</v>
      </c>
      <c r="W27" s="903">
        <v>0</v>
      </c>
      <c r="X27" s="906">
        <v>0</v>
      </c>
      <c r="Y27" s="935">
        <f>Y25+2*Y26</f>
        <v>0</v>
      </c>
      <c r="Z27" s="857">
        <f t="shared" si="9"/>
        <v>0</v>
      </c>
      <c r="AA27" s="907">
        <f t="shared" si="9"/>
        <v>0</v>
      </c>
      <c r="AB27" s="857">
        <f t="shared" si="9"/>
        <v>0</v>
      </c>
      <c r="AC27" s="857">
        <f>AC25+2*AC26</f>
        <v>0</v>
      </c>
      <c r="AD27" s="857">
        <f t="shared" si="9"/>
        <v>0</v>
      </c>
      <c r="AE27" s="857">
        <f>AE25+2*AE26</f>
        <v>0</v>
      </c>
      <c r="AF27" s="857">
        <f t="shared" si="9"/>
        <v>0</v>
      </c>
      <c r="AG27" s="857">
        <f>AG25+2*AG26</f>
        <v>0</v>
      </c>
      <c r="AH27" s="857">
        <f t="shared" si="9"/>
        <v>0</v>
      </c>
      <c r="AI27" s="857">
        <f>AI25+2*AI26</f>
        <v>0</v>
      </c>
      <c r="AJ27" s="857">
        <f t="shared" si="9"/>
        <v>0</v>
      </c>
      <c r="AK27" s="857">
        <f t="shared" si="9"/>
        <v>0</v>
      </c>
      <c r="AL27" s="857">
        <f t="shared" si="9"/>
        <v>0</v>
      </c>
      <c r="AM27" s="857">
        <f t="shared" si="9"/>
        <v>0</v>
      </c>
      <c r="AN27" s="857">
        <f t="shared" si="9"/>
        <v>0</v>
      </c>
      <c r="AO27" s="857">
        <f t="shared" si="9"/>
        <v>0</v>
      </c>
      <c r="AP27" s="925">
        <f t="shared" si="9"/>
        <v>0</v>
      </c>
      <c r="AQ27" s="925">
        <f>AQ25+2*AQ26</f>
        <v>0</v>
      </c>
      <c r="AR27" s="907">
        <f t="shared" si="9"/>
        <v>0</v>
      </c>
      <c r="AS27" s="907">
        <f>AS25+2*AS26</f>
        <v>0</v>
      </c>
      <c r="AT27" s="909">
        <f t="shared" si="9"/>
        <v>0</v>
      </c>
      <c r="AU27" s="909">
        <f>AU25+2*AU26</f>
        <v>0</v>
      </c>
      <c r="AV27" s="909">
        <f t="shared" si="9"/>
        <v>0</v>
      </c>
      <c r="AW27" s="909">
        <f>AW25+2*AW26</f>
        <v>0</v>
      </c>
      <c r="AX27" s="857">
        <f>AX25+2*AX26</f>
        <v>0</v>
      </c>
      <c r="AY27" s="857">
        <f>AY25+2*AY26</f>
        <v>0</v>
      </c>
      <c r="AZ27" s="857">
        <f>(AZ25-ultimoDiaTrim)+2*AZ26</f>
        <v>0</v>
      </c>
      <c r="BA27" s="857">
        <f>(BA25-ultimoDiaTrim)+2*BA26</f>
        <v>0</v>
      </c>
      <c r="BB27" s="910"/>
      <c r="BC27" s="147">
        <f>BC25+2*BC26</f>
        <v>0</v>
      </c>
      <c r="BD27" s="147">
        <f>BD25+2*BD26</f>
        <v>0</v>
      </c>
      <c r="BE27" s="861">
        <f>BE25+2*BE26</f>
        <v>0</v>
      </c>
    </row>
    <row r="28" spans="1:65" ht="12.75" hidden="1" customHeight="1">
      <c r="C28" s="568" t="s">
        <v>290</v>
      </c>
      <c r="D28" s="567"/>
      <c r="E28" s="901">
        <f t="shared" ref="E28:AV28" si="10">MIN(0,E25-2*E26)</f>
        <v>0</v>
      </c>
      <c r="F28" s="861">
        <f t="shared" si="10"/>
        <v>0</v>
      </c>
      <c r="G28" s="902">
        <f t="shared" si="10"/>
        <v>0</v>
      </c>
      <c r="H28" s="857">
        <f t="shared" si="10"/>
        <v>0</v>
      </c>
      <c r="I28" s="911">
        <f>MIN(0,I25-2*I26)</f>
        <v>0</v>
      </c>
      <c r="J28" s="857">
        <f>MIN(0,J25-2*J26)</f>
        <v>0</v>
      </c>
      <c r="K28" s="857">
        <f t="shared" si="10"/>
        <v>0</v>
      </c>
      <c r="L28" s="857">
        <f t="shared" si="10"/>
        <v>0</v>
      </c>
      <c r="M28" s="857">
        <f t="shared" si="10"/>
        <v>0</v>
      </c>
      <c r="N28" s="857">
        <f t="shared" si="10"/>
        <v>0</v>
      </c>
      <c r="O28" s="857">
        <f>MIN(0,O25-2*O26)</f>
        <v>0</v>
      </c>
      <c r="P28" s="857">
        <f t="shared" si="10"/>
        <v>0</v>
      </c>
      <c r="Q28" s="907">
        <f t="shared" si="10"/>
        <v>0</v>
      </c>
      <c r="R28" s="907">
        <f t="shared" si="10"/>
        <v>0</v>
      </c>
      <c r="S28" s="857">
        <f t="shared" si="10"/>
        <v>0</v>
      </c>
      <c r="T28" s="857">
        <f>MIN(0,T25-2*T26)</f>
        <v>0</v>
      </c>
      <c r="U28" s="909">
        <f t="shared" si="10"/>
        <v>0</v>
      </c>
      <c r="V28" s="909">
        <f>MIN(0,V25-2*V26)</f>
        <v>0</v>
      </c>
      <c r="W28" s="857">
        <v>0</v>
      </c>
      <c r="X28" s="909">
        <v>0</v>
      </c>
      <c r="Y28" s="936">
        <f>MIN(0,Y25-2*Y26)</f>
        <v>0</v>
      </c>
      <c r="Z28" s="857">
        <f t="shared" si="10"/>
        <v>0</v>
      </c>
      <c r="AA28" s="907">
        <f t="shared" si="10"/>
        <v>0</v>
      </c>
      <c r="AB28" s="857">
        <f t="shared" si="10"/>
        <v>0</v>
      </c>
      <c r="AC28" s="857">
        <f>MIN(0,AC25-2*AC26)</f>
        <v>0</v>
      </c>
      <c r="AD28" s="857">
        <f t="shared" si="10"/>
        <v>0</v>
      </c>
      <c r="AE28" s="857">
        <f>MIN(0,AE25-2*AE26)</f>
        <v>0</v>
      </c>
      <c r="AF28" s="857">
        <f t="shared" si="10"/>
        <v>0</v>
      </c>
      <c r="AG28" s="857">
        <f>MIN(0,AG25-2*AG26)</f>
        <v>0</v>
      </c>
      <c r="AH28" s="857">
        <f t="shared" si="10"/>
        <v>0</v>
      </c>
      <c r="AI28" s="857">
        <f>MIN(0,AI25-2*AI26)</f>
        <v>0</v>
      </c>
      <c r="AJ28" s="857">
        <f t="shared" si="10"/>
        <v>0</v>
      </c>
      <c r="AK28" s="857">
        <f t="shared" si="10"/>
        <v>0</v>
      </c>
      <c r="AL28" s="857">
        <f t="shared" si="10"/>
        <v>0</v>
      </c>
      <c r="AM28" s="857">
        <f t="shared" si="10"/>
        <v>0</v>
      </c>
      <c r="AN28" s="857">
        <f t="shared" si="10"/>
        <v>0</v>
      </c>
      <c r="AO28" s="857">
        <f t="shared" si="10"/>
        <v>0</v>
      </c>
      <c r="AP28" s="925">
        <f t="shared" si="10"/>
        <v>0</v>
      </c>
      <c r="AQ28" s="925">
        <f>MIN(0,AQ25-2*AQ26)</f>
        <v>0</v>
      </c>
      <c r="AR28" s="907">
        <f t="shared" si="10"/>
        <v>0</v>
      </c>
      <c r="AS28" s="907">
        <f>MIN(0,AS25-2*AS26)</f>
        <v>0</v>
      </c>
      <c r="AT28" s="909">
        <f t="shared" si="10"/>
        <v>0</v>
      </c>
      <c r="AU28" s="909">
        <f>MIN(0,AU25-2*AU26)</f>
        <v>0</v>
      </c>
      <c r="AV28" s="909">
        <f t="shared" si="10"/>
        <v>0</v>
      </c>
      <c r="AW28" s="909">
        <f>MIN(0,AW25-2*AW26)</f>
        <v>0</v>
      </c>
      <c r="AX28" s="857">
        <f>MIN(0,AX25-2*AX26)</f>
        <v>0</v>
      </c>
      <c r="AY28" s="857">
        <f>MIN(0,AY25-2*AY26)</f>
        <v>0</v>
      </c>
      <c r="AZ28" s="857">
        <f>MIN(0,(AZ25-ultimoDiaTrim)-2*AZ26)</f>
        <v>0</v>
      </c>
      <c r="BA28" s="857">
        <f>MIN(0,(BA25-ultimoDiaTrim)-2*BA26)</f>
        <v>0</v>
      </c>
      <c r="BB28" s="910"/>
      <c r="BC28" s="148">
        <f>MIN(0,BC25-2*BC26)</f>
        <v>0</v>
      </c>
      <c r="BD28" s="148">
        <f>MIN(0,BD25-2*BD26)</f>
        <v>0</v>
      </c>
      <c r="BE28" s="861">
        <f>MIN(0,BE25-2*BE26)</f>
        <v>0</v>
      </c>
    </row>
    <row r="29" spans="1:65">
      <c r="C29" s="73"/>
      <c r="D29" s="514"/>
      <c r="W29"/>
      <c r="X29"/>
    </row>
    <row r="32" spans="1:65">
      <c r="C32" s="754" t="str">
        <f>Criterios!A4</f>
        <v>Fecha Informe: 06 jun. 2023</v>
      </c>
      <c r="W32"/>
      <c r="X32"/>
    </row>
    <row r="34" spans="3:24">
      <c r="C34" s="912"/>
      <c r="D34" s="913"/>
      <c r="W34"/>
      <c r="X34"/>
    </row>
  </sheetData>
  <sheetProtection algorithmName="SHA-512" hashValue="cepbm3itQxhMgbbkY9rB2A/IzMUavDvEJy9OimE+I30QcU1/FsQnU7q92tJdNt4ZpoW4fidAtm20KUv3ZGJYMw==" saltValue="J7R4ZGc3/krBeznUu7Y4K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19">
    <cfRule type="expression" dxfId="51" priority="126" stopIfTrue="1">
      <formula>IF(F9&lt;&gt;G9,TRUE,FALSE)</formula>
    </cfRule>
  </conditionalFormatting>
  <conditionalFormatting sqref="G10 G13 G16:G19">
    <cfRule type="cellIs" dxfId="50" priority="127" stopIfTrue="1" operator="notBetween">
      <formula>$G$27</formula>
      <formula>$G$28</formula>
    </cfRule>
  </conditionalFormatting>
  <conditionalFormatting sqref="F9:F13 F16:F19">
    <cfRule type="cellIs" dxfId="49" priority="128" stopIfTrue="1" operator="notBetween">
      <formula>$F$27</formula>
      <formula>$F$28</formula>
    </cfRule>
  </conditionalFormatting>
  <conditionalFormatting sqref="BF9:BM13 BF16:BM19">
    <cfRule type="cellIs" dxfId="48" priority="129" stopIfTrue="1" operator="equal">
      <formula>$A$33</formula>
    </cfRule>
  </conditionalFormatting>
  <conditionalFormatting sqref="BF8:BM8 BF14:BM15 BF20:BM21">
    <cfRule type="cellIs" dxfId="47" priority="130" stopIfTrue="1" operator="equal">
      <formula>$A$33</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3 H16:H19">
    <cfRule type="cellIs" dxfId="42" priority="133" stopIfTrue="1" operator="notBetween">
      <formula>$H$27</formula>
      <formula>$H$28</formula>
    </cfRule>
  </conditionalFormatting>
  <conditionalFormatting sqref="K16:K19 K9:K13">
    <cfRule type="cellIs" dxfId="41" priority="113" stopIfTrue="1" operator="notBetween">
      <formula>$K$27</formula>
      <formula>$K$28</formula>
    </cfRule>
  </conditionalFormatting>
  <conditionalFormatting sqref="L9:L13 L16:L19">
    <cfRule type="cellIs" dxfId="40" priority="112" stopIfTrue="1" operator="notBetween">
      <formula>$L$27</formula>
      <formula>$L$28</formula>
    </cfRule>
  </conditionalFormatting>
  <conditionalFormatting sqref="P9:P13 P16:P19">
    <cfRule type="cellIs" dxfId="39" priority="111" stopIfTrue="1" operator="notBetween">
      <formula>$P$27</formula>
      <formula>$P$28</formula>
    </cfRule>
  </conditionalFormatting>
  <conditionalFormatting sqref="R9:R13 R16:R19">
    <cfRule type="cellIs" dxfId="38" priority="109" stopIfTrue="1" operator="notBetween">
      <formula>$R$27</formula>
      <formula>$R$28</formula>
    </cfRule>
  </conditionalFormatting>
  <conditionalFormatting sqref="S9:S13 S16:S19">
    <cfRule type="cellIs" dxfId="37" priority="108" stopIfTrue="1" operator="notBetween">
      <formula>$S$27</formula>
      <formula>$S$28</formula>
    </cfRule>
  </conditionalFormatting>
  <conditionalFormatting sqref="U9:U13 U16:U19">
    <cfRule type="cellIs" dxfId="36" priority="107" stopIfTrue="1" operator="notBetween">
      <formula>$U$27</formula>
      <formula>$U$28</formula>
    </cfRule>
  </conditionalFormatting>
  <conditionalFormatting sqref="Z16:Z19 Z9:Z13">
    <cfRule type="cellIs" dxfId="35" priority="104" stopIfTrue="1" operator="notBetween">
      <formula>$Z$27</formula>
      <formula>$Z$28</formula>
    </cfRule>
  </conditionalFormatting>
  <conditionalFormatting sqref="AA9:AA13 AA16:AA19">
    <cfRule type="cellIs" dxfId="34" priority="103" stopIfTrue="1" operator="notBetween">
      <formula>$AA$27</formula>
      <formula>$AA$28</formula>
    </cfRule>
  </conditionalFormatting>
  <conditionalFormatting sqref="AB9:AB13 AB16:AB19">
    <cfRule type="cellIs" dxfId="33" priority="102" stopIfTrue="1" operator="notBetween">
      <formula>$AB$27</formula>
      <formula>$AB$28</formula>
    </cfRule>
  </conditionalFormatting>
  <conditionalFormatting sqref="AF9:AF13 AF16:AF19">
    <cfRule type="cellIs" dxfId="32" priority="101" stopIfTrue="1" operator="notBetween">
      <formula>$AF$27</formula>
      <formula>$AF$28</formula>
    </cfRule>
  </conditionalFormatting>
  <conditionalFormatting sqref="AH16:AH19 AH9:AH13">
    <cfRule type="cellIs" dxfId="31" priority="100" stopIfTrue="1" operator="notBetween">
      <formula>$AH$27</formula>
      <formula>$AH$28</formula>
    </cfRule>
  </conditionalFormatting>
  <conditionalFormatting sqref="AJ16:AJ19 AJ9:AJ10 AJ12">
    <cfRule type="cellIs" dxfId="30" priority="94" stopIfTrue="1" operator="notBetween">
      <formula>$AJ$27</formula>
      <formula>$AJ$28</formula>
    </cfRule>
  </conditionalFormatting>
  <conditionalFormatting sqref="AK16:AK19 AK9:AK13">
    <cfRule type="cellIs" dxfId="29" priority="93" stopIfTrue="1" operator="notBetween">
      <formula>$AK$27</formula>
      <formula>$AK$28</formula>
    </cfRule>
  </conditionalFormatting>
  <conditionalFormatting sqref="AL16:AL19 AL9:AL13">
    <cfRule type="cellIs" dxfId="28" priority="89" stopIfTrue="1" operator="notBetween">
      <formula>$AL$27</formula>
      <formula>$AL$28</formula>
    </cfRule>
  </conditionalFormatting>
  <conditionalFormatting sqref="AM9:AM13 AM16:AM19">
    <cfRule type="cellIs" dxfId="27" priority="83" stopIfTrue="1" operator="notBetween">
      <formula>$AM$27</formula>
      <formula>$AM$28</formula>
    </cfRule>
  </conditionalFormatting>
  <conditionalFormatting sqref="AN9:AN13 AN16:AN19">
    <cfRule type="cellIs" dxfId="26" priority="82" stopIfTrue="1" operator="notBetween">
      <formula>$AN$27</formula>
      <formula>$AN$28</formula>
    </cfRule>
  </conditionalFormatting>
  <conditionalFormatting sqref="AO9:AO13 AO16:AO19">
    <cfRule type="cellIs" dxfId="25" priority="81" stopIfTrue="1" operator="notBetween">
      <formula>$AO$27</formula>
      <formula>$AO$28</formula>
    </cfRule>
  </conditionalFormatting>
  <conditionalFormatting sqref="AP9:AP13 AP16:AP19">
    <cfRule type="cellIs" dxfId="24" priority="80" stopIfTrue="1" operator="notBetween">
      <formula>$AP$27</formula>
      <formula>$AP$28</formula>
    </cfRule>
  </conditionalFormatting>
  <conditionalFormatting sqref="AR9:AR13 AR16:AR19">
    <cfRule type="cellIs" dxfId="23" priority="78" stopIfTrue="1" operator="notBetween">
      <formula>$AR$27</formula>
      <formula>$AR$28</formula>
    </cfRule>
  </conditionalFormatting>
  <conditionalFormatting sqref="AT16:AT19 AT9:AT13">
    <cfRule type="cellIs" dxfId="22" priority="77" stopIfTrue="1" operator="notBetween">
      <formula>$AT$27</formula>
      <formula>$AT$28</formula>
    </cfRule>
  </conditionalFormatting>
  <conditionalFormatting sqref="AV9:AV13 AV16:AV19">
    <cfRule type="cellIs" dxfId="21" priority="75" stopIfTrue="1" operator="notBetween">
      <formula>$AV$27</formula>
      <formula>$AV$28</formula>
    </cfRule>
  </conditionalFormatting>
  <conditionalFormatting sqref="AY16:AY19 AY9:AY13">
    <cfRule type="cellIs" dxfId="20" priority="74" stopIfTrue="1" operator="notBetween">
      <formula>$AY$27</formula>
      <formula>$AY$28</formula>
    </cfRule>
  </conditionalFormatting>
  <conditionalFormatting sqref="N9:N13 N16:N19">
    <cfRule type="cellIs" dxfId="19" priority="70" stopIfTrue="1" operator="notBetween">
      <formula>$N$27</formula>
      <formula>$N$28</formula>
    </cfRule>
  </conditionalFormatting>
  <conditionalFormatting sqref="I16:I19 I9:I13">
    <cfRule type="cellIs" dxfId="18" priority="61" stopIfTrue="1" operator="notBetween">
      <formula>$I$27</formula>
      <formula>$I$28</formula>
    </cfRule>
  </conditionalFormatting>
  <conditionalFormatting sqref="Y9:Y13 Y16:Y19">
    <cfRule type="cellIs" dxfId="17" priority="59" stopIfTrue="1" operator="notBetween">
      <formula>$Y$27</formula>
      <formula>$Y$28</formula>
    </cfRule>
  </conditionalFormatting>
  <conditionalFormatting sqref="AD9:AD13 AD16:AD19">
    <cfRule type="cellIs" dxfId="16" priority="49" stopIfTrue="1" operator="notBetween">
      <formula>$AD$27</formula>
      <formula>$AD$28</formula>
    </cfRule>
  </conditionalFormatting>
  <conditionalFormatting sqref="J16:J19 J9:J13">
    <cfRule type="cellIs" dxfId="15" priority="45" stopIfTrue="1" operator="notBetween">
      <formula>$J$27</formula>
      <formula>$J$28</formula>
    </cfRule>
  </conditionalFormatting>
  <conditionalFormatting sqref="O9:O13 O16:O19">
    <cfRule type="cellIs" dxfId="14" priority="44" stopIfTrue="1" operator="notBetween">
      <formula>$O$27</formula>
      <formula>$O$28</formula>
    </cfRule>
  </conditionalFormatting>
  <conditionalFormatting sqref="T16:T19 T9:T13">
    <cfRule type="cellIs" dxfId="13" priority="43" stopIfTrue="1" operator="notBetween">
      <formula>$T$27</formula>
      <formula>$T$28</formula>
    </cfRule>
  </conditionalFormatting>
  <conditionalFormatting sqref="V16:V19 V9:V13">
    <cfRule type="cellIs" dxfId="12" priority="42" stopIfTrue="1" operator="notBetween">
      <formula>$V$27</formula>
      <formula>$V$28</formula>
    </cfRule>
  </conditionalFormatting>
  <conditionalFormatting sqref="AC9:AC13 AC16:AC19">
    <cfRule type="cellIs" dxfId="11" priority="37" stopIfTrue="1" operator="notBetween">
      <formula>$AC$27</formula>
      <formula>$AC$28</formula>
    </cfRule>
  </conditionalFormatting>
  <conditionalFormatting sqref="AE9:AE13 AE16:AE19">
    <cfRule type="cellIs" dxfId="10" priority="36" stopIfTrue="1" operator="notBetween">
      <formula>$AE$27</formula>
      <formula>$AE$28</formula>
    </cfRule>
  </conditionalFormatting>
  <conditionalFormatting sqref="AG16:AG19 AG9:AG13">
    <cfRule type="cellIs" dxfId="9" priority="35" stopIfTrue="1" operator="notBetween">
      <formula>$AG$27</formula>
      <formula>$AG$28</formula>
    </cfRule>
  </conditionalFormatting>
  <conditionalFormatting sqref="AI16:AI19 AI9:AI13">
    <cfRule type="cellIs" dxfId="8" priority="34" stopIfTrue="1" operator="notBetween">
      <formula>$AI$27</formula>
      <formula>$AI$28</formula>
    </cfRule>
  </conditionalFormatting>
  <conditionalFormatting sqref="AQ16:AQ19 AQ9:AQ13">
    <cfRule type="cellIs" dxfId="7" priority="30" stopIfTrue="1" operator="notBetween">
      <formula>$AQ$27</formula>
      <formula>$AQ$28</formula>
    </cfRule>
  </conditionalFormatting>
  <conditionalFormatting sqref="AS16:AS19 AS9:AS13">
    <cfRule type="cellIs" dxfId="6" priority="29" stopIfTrue="1" operator="notBetween">
      <formula>$AS$27</formula>
      <formula>$AS$28</formula>
    </cfRule>
  </conditionalFormatting>
  <conditionalFormatting sqref="AW9:AW13 AW16:AW19">
    <cfRule type="cellIs" dxfId="5" priority="16" stopIfTrue="1" operator="notBetween">
      <formula>$AW$27</formula>
      <formula>$AW$28</formula>
    </cfRule>
  </conditionalFormatting>
  <conditionalFormatting sqref="AU16:AU19 AU8:AU13">
    <cfRule type="cellIs" dxfId="4" priority="15" stopIfTrue="1" operator="notBetween">
      <formula>$AU$27</formula>
      <formula>$AU$28</formula>
    </cfRule>
  </conditionalFormatting>
  <conditionalFormatting sqref="AX16:AX19 AX9:AX13">
    <cfRule type="cellIs" dxfId="3" priority="2" stopIfTrue="1" operator="notBetween">
      <formula>$AX$27</formula>
      <formula>$AX$28</formula>
    </cfRule>
  </conditionalFormatting>
  <conditionalFormatting sqref="E9:E13">
    <cfRule type="cellIs" dxfId="2" priority="3820" stopIfTrue="1" operator="notBetween">
      <formula>$E$27</formula>
      <formula>$E$28</formula>
    </cfRule>
  </conditionalFormatting>
  <conditionalFormatting sqref="AZ15:AZ19 AZ9:AZ13">
    <cfRule type="expression" dxfId="1" priority="4190" stopIfTrue="1">
      <formula>NOT(AND($AZ9-ultimoDiaTrim&gt;=$AZ$28,$AZ9-ultimoDiaTrim&lt;=$AZ$27))</formula>
    </cfRule>
  </conditionalFormatting>
  <conditionalFormatting sqref="BA15:BA19 BA9:BA13">
    <cfRule type="expression" dxfId="0" priority="4192" stopIfTrue="1">
      <formula>NOT(AND($BA9-ultimoDiaTrim&gt;=$BA$28,$BA9-ultimoDiaTrim&lt;=$BA$27))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9"/>
  <sheetViews>
    <sheetView zoomScale="85" zoomScaleNormal="85" workbookViewId="0"/>
  </sheetViews>
  <sheetFormatPr baseColWidth="10" defaultColWidth="11.42578125" defaultRowHeight="12.75"/>
  <cols>
    <col min="1" max="1" width="33.5703125" style="399" customWidth="1"/>
    <col min="2" max="2" width="11.28515625" style="399" customWidth="1"/>
    <col min="3" max="3" width="11" style="399" customWidth="1"/>
    <col min="4" max="4" width="9.42578125" style="399" hidden="1" customWidth="1"/>
    <col min="5" max="5" width="9.7109375" style="399" hidden="1" customWidth="1"/>
    <col min="6" max="6" width="13" style="399" hidden="1" customWidth="1"/>
    <col min="7" max="7" width="14.85546875" style="399" customWidth="1"/>
    <col min="8" max="8" width="15.140625" style="399" customWidth="1"/>
    <col min="9" max="9" width="12.7109375" style="399" customWidth="1"/>
    <col min="10" max="10" width="13" style="399" bestFit="1" customWidth="1"/>
    <col min="11" max="11" width="10.5703125" style="399" customWidth="1"/>
    <col min="12" max="12" width="13" style="399" customWidth="1"/>
    <col min="13" max="16" width="11.42578125" style="400"/>
    <col min="17" max="16384" width="11.42578125" style="399"/>
  </cols>
  <sheetData>
    <row r="1" spans="1:15" ht="108" customHeight="1"/>
    <row r="2" spans="1:15">
      <c r="A2" s="400"/>
      <c r="B2" s="401" t="str">
        <f>Criterios!A9 &amp;"  "&amp;Criterios!B9</f>
        <v>Tribunales de Justicia  ANDALUCIA</v>
      </c>
      <c r="C2" s="400"/>
      <c r="E2" s="400"/>
      <c r="F2" s="400"/>
      <c r="G2" s="400"/>
      <c r="H2" s="400"/>
    </row>
    <row r="3" spans="1:15" ht="39">
      <c r="A3" s="427" t="s">
        <v>241</v>
      </c>
      <c r="B3" s="403" t="str">
        <f>Criterios!A10 &amp;"  "&amp;Criterios!B10</f>
        <v>Provincias  CORDOBA</v>
      </c>
      <c r="C3" s="427"/>
      <c r="F3" s="400"/>
      <c r="G3" s="400"/>
      <c r="H3" s="400"/>
    </row>
    <row r="4" spans="1:15" ht="13.5" thickBot="1">
      <c r="A4" s="400"/>
      <c r="B4" s="403" t="str">
        <f>Criterios!A11 &amp;"  "&amp;Criterios!B11</f>
        <v>Resumenes por Partidos Judiciales  PUENTE GENIL</v>
      </c>
      <c r="C4" s="400"/>
      <c r="E4" s="400"/>
      <c r="F4" s="400"/>
      <c r="G4" s="400"/>
      <c r="H4" s="400"/>
    </row>
    <row r="5" spans="1:15" ht="15.75" customHeight="1">
      <c r="A5" s="1369" t="str">
        <f>"Año:  " &amp;Criterios!B5</f>
        <v>Año:  2023</v>
      </c>
      <c r="B5" s="1359" t="s">
        <v>228</v>
      </c>
      <c r="C5" s="1372"/>
      <c r="D5" s="1359" t="s">
        <v>245</v>
      </c>
      <c r="E5" s="1377"/>
      <c r="F5" s="1372"/>
      <c r="G5" s="1359" t="s">
        <v>230</v>
      </c>
      <c r="H5" s="1360"/>
      <c r="I5" s="1359" t="s">
        <v>231</v>
      </c>
      <c r="J5" s="1360"/>
      <c r="K5" s="1359" t="s">
        <v>232</v>
      </c>
      <c r="L5" s="1371"/>
      <c r="M5" s="1372"/>
    </row>
    <row r="6" spans="1:15" ht="21.75" customHeight="1" thickBot="1">
      <c r="A6" s="1370"/>
      <c r="B6" s="1375"/>
      <c r="C6" s="1376"/>
      <c r="D6" s="1378"/>
      <c r="E6" s="1379"/>
      <c r="F6" s="1380"/>
      <c r="G6" s="1361"/>
      <c r="H6" s="1362"/>
      <c r="I6" s="1361"/>
      <c r="J6" s="1362"/>
      <c r="K6" s="1361"/>
      <c r="L6" s="1373"/>
      <c r="M6" s="1374"/>
    </row>
    <row r="7" spans="1:15" ht="38.25" customHeight="1" thickTop="1" thickBot="1">
      <c r="A7" s="404" t="str">
        <f>Datos!A7</f>
        <v>COMPETENCIAS</v>
      </c>
      <c r="B7" s="428" t="s">
        <v>120</v>
      </c>
      <c r="C7" s="428" t="s">
        <v>229</v>
      </c>
      <c r="D7" s="428" t="s">
        <v>120</v>
      </c>
      <c r="E7" s="428" t="s">
        <v>229</v>
      </c>
      <c r="F7" s="407" t="s">
        <v>6</v>
      </c>
      <c r="G7" s="428" t="s">
        <v>120</v>
      </c>
      <c r="H7" s="428" t="s">
        <v>233</v>
      </c>
      <c r="I7" s="428" t="s">
        <v>120</v>
      </c>
      <c r="J7" s="428" t="s">
        <v>233</v>
      </c>
      <c r="K7" s="428" t="s">
        <v>120</v>
      </c>
      <c r="L7" s="429" t="s">
        <v>233</v>
      </c>
      <c r="M7" s="429" t="s">
        <v>242</v>
      </c>
    </row>
    <row r="8" spans="1:15">
      <c r="A8" s="408" t="str">
        <f>Datos!A8</f>
        <v>Jurisdicción Civil ( 1 ):</v>
      </c>
      <c r="B8" s="430"/>
      <c r="C8" s="430"/>
      <c r="D8" s="409"/>
      <c r="E8" s="410"/>
      <c r="F8" s="411"/>
      <c r="G8" s="410"/>
      <c r="H8" s="411"/>
      <c r="I8" s="410"/>
      <c r="J8" s="411"/>
      <c r="K8" s="410"/>
      <c r="L8" s="411"/>
      <c r="M8" s="431"/>
    </row>
    <row r="9" spans="1:15">
      <c r="A9" s="414" t="str">
        <f>Datos!A9</f>
        <v xml:space="preserve">Jdos. 1ª Instancia   </v>
      </c>
      <c r="B9" s="415">
        <f>Datos!BL9</f>
        <v>0</v>
      </c>
      <c r="C9" s="415">
        <f>Datos!AR9</f>
        <v>0</v>
      </c>
      <c r="D9" s="415">
        <f>Datos!BK9</f>
        <v>0</v>
      </c>
      <c r="E9" s="415">
        <f>Datos!AQ9</f>
        <v>0</v>
      </c>
      <c r="F9" s="416" t="str">
        <f>IF(ISNUMBER(E9/Datos!BH9),E9/Datos!BH9," - ")</f>
        <v xml:space="preserve"> - </v>
      </c>
      <c r="G9" s="415" t="str">
        <f>IF(ISNUMBER(Datos!BJ9),Datos!BJ9," - ")</f>
        <v xml:space="preserve"> - </v>
      </c>
      <c r="H9" s="415" t="str">
        <f>IF(ISNUMBER(Datos!AS9),Datos!AS9," - ")</f>
        <v xml:space="preserve"> - </v>
      </c>
      <c r="I9" s="416" t="str">
        <f>IF(ISNUMBER(G9/D9),G9/D9," - ")</f>
        <v xml:space="preserve"> - </v>
      </c>
      <c r="J9" s="416" t="str">
        <f>IF(ISNUMBER(H9/E9),H9/E9," - ")</f>
        <v xml:space="preserve"> - </v>
      </c>
      <c r="K9" s="432" t="str">
        <f>IF(AND(ISNUMBER(I9/Datos!ER9),(G9&lt;&gt;0)),((I9-Datos!ER9)/Datos!ER9)," - ")</f>
        <v xml:space="preserve"> - </v>
      </c>
      <c r="L9" s="432" t="str">
        <f>IF(AND(ISNUMBER(J9/Datos!ER9),(H9&lt;&gt;0)),((J9-Datos!ER9)/Datos!ER9)," - ")</f>
        <v xml:space="preserve"> - </v>
      </c>
      <c r="M9" s="433">
        <f>IF(EXACT(Datos!ER9,""),"-",Datos!ER9)</f>
        <v>1200</v>
      </c>
      <c r="O9" s="434"/>
    </row>
    <row r="10" spans="1:15">
      <c r="A10" s="414" t="str">
        <f>Datos!A10</f>
        <v>Jdos. Violencia contra la mujer</v>
      </c>
      <c r="B10" s="415">
        <f>Datos!BL10</f>
        <v>0</v>
      </c>
      <c r="C10" s="415">
        <f>Datos!AR10</f>
        <v>0</v>
      </c>
      <c r="D10" s="415">
        <f>Datos!BK10</f>
        <v>0</v>
      </c>
      <c r="E10" s="415">
        <f>Datos!AQ10</f>
        <v>0</v>
      </c>
      <c r="F10" s="416">
        <f>IF(ISNUMBER(E10/Datos!BH10),E10/Datos!BH10," - ")</f>
        <v>0</v>
      </c>
      <c r="G10" s="415" t="str">
        <f>IF(ISNUMBER(Datos!BJ10),Datos!BJ10," - ")</f>
        <v xml:space="preserve"> - </v>
      </c>
      <c r="H10" s="415" t="str">
        <f>IF(ISNUMBER(Datos!AS10),Datos!AS10," - ")</f>
        <v xml:space="preserve"> - </v>
      </c>
      <c r="I10" s="416" t="str">
        <f t="shared" ref="I10:I13" si="0">IF(ISNUMBER(G10/D10),G10/D10," - ")</f>
        <v xml:space="preserve"> - </v>
      </c>
      <c r="J10" s="416" t="str">
        <f t="shared" ref="J10:J13" si="1">IF(ISNUMBER(H10/E10),H10/E10," - ")</f>
        <v xml:space="preserve"> - </v>
      </c>
      <c r="K10" s="432" t="str">
        <f>IF(AND(ISNUMBER(I10/Datos!ER10),(G10&lt;&gt;0)),((I10-Datos!ER10)/Datos!ER10)," - ")</f>
        <v xml:space="preserve"> - </v>
      </c>
      <c r="L10" s="432" t="str">
        <f>IF(AND(ISNUMBER(J10/Datos!ER10),(H10&lt;&gt;0)),((J10-Datos!ER10)/Datos!ER10)," - ")</f>
        <v xml:space="preserve"> - </v>
      </c>
      <c r="M10" s="433">
        <f>IF(EXACT(Datos!ER10,""),"-",Datos!ER10)</f>
        <v>1600</v>
      </c>
    </row>
    <row r="11" spans="1:15">
      <c r="A11" s="414" t="str">
        <f>Datos!A11</f>
        <v xml:space="preserve">Jdos. Familia                                   </v>
      </c>
      <c r="B11" s="415">
        <f>Datos!BL11</f>
        <v>0</v>
      </c>
      <c r="C11" s="415">
        <f>Datos!AR11</f>
        <v>0</v>
      </c>
      <c r="D11" s="415">
        <f>Datos!BK11</f>
        <v>0</v>
      </c>
      <c r="E11" s="415">
        <f>Datos!AQ11</f>
        <v>0</v>
      </c>
      <c r="F11" s="416" t="str">
        <f>IF(ISNUMBER(E11/Datos!BH11),E11/Datos!BH11," - ")</f>
        <v xml:space="preserve"> - </v>
      </c>
      <c r="G11" s="415" t="str">
        <f>IF(ISNUMBER(Datos!BJ11),Datos!BJ11," - ")</f>
        <v xml:space="preserve"> - </v>
      </c>
      <c r="H11" s="415" t="str">
        <f>IF(ISNUMBER(Datos!AS11),Datos!AS11," - ")</f>
        <v xml:space="preserve"> - </v>
      </c>
      <c r="I11" s="416" t="str">
        <f t="shared" si="0"/>
        <v xml:space="preserve"> - </v>
      </c>
      <c r="J11" s="416" t="str">
        <f t="shared" si="1"/>
        <v xml:space="preserve"> - </v>
      </c>
      <c r="K11" s="432" t="str">
        <f>IF(AND(ISNUMBER(I11/Datos!ER11),(G11&lt;&gt;0)),((I11-Datos!ER11)/Datos!ER11)," - ")</f>
        <v xml:space="preserve"> - </v>
      </c>
      <c r="L11" s="432" t="str">
        <f>IF(AND(ISNUMBER(J11/Datos!ER11),(H11&lt;&gt;0)),((J11-Datos!ER11)/Datos!ER11)," - ")</f>
        <v xml:space="preserve"> - </v>
      </c>
      <c r="M11" s="433">
        <f>IF(EXACT(Datos!ER11,""),"-",Datos!ER11)</f>
        <v>1323</v>
      </c>
    </row>
    <row r="12" spans="1:15">
      <c r="A12" s="414" t="str">
        <f>Datos!A12</f>
        <v xml:space="preserve">Jdos. 1ª Instª. e Instr.                        </v>
      </c>
      <c r="B12" s="415">
        <f>Datos!BL12</f>
        <v>0</v>
      </c>
      <c r="C12" s="415">
        <f>Datos!AR12</f>
        <v>2</v>
      </c>
      <c r="D12" s="415">
        <f>Datos!BK12</f>
        <v>0</v>
      </c>
      <c r="E12" s="415">
        <f>Datos!AQ12</f>
        <v>2</v>
      </c>
      <c r="F12" s="416">
        <f>IF(ISNUMBER(E12/Datos!BH12),E12/Datos!BH12," - ")</f>
        <v>1</v>
      </c>
      <c r="G12" s="415" t="str">
        <f>IF(ISNUMBER(Datos!BJ12),Datos!BJ12," - ")</f>
        <v xml:space="preserve"> - </v>
      </c>
      <c r="H12" s="415" t="str">
        <f>IF(ISNUMBER(Datos!AS12),Datos!AS12," - ")</f>
        <v xml:space="preserve"> - </v>
      </c>
      <c r="I12" s="416" t="str">
        <f t="shared" si="0"/>
        <v xml:space="preserve"> - </v>
      </c>
      <c r="J12" s="416" t="str">
        <f t="shared" si="1"/>
        <v xml:space="preserve"> - </v>
      </c>
      <c r="K12" s="432" t="str">
        <f>IF(AND(ISNUMBER(I12/Datos!ER12),(G12&lt;&gt;0)),((I12-Datos!ER12)/Datos!ER12)," - ")</f>
        <v xml:space="preserve"> - </v>
      </c>
      <c r="L12" s="432" t="str">
        <f>IF(AND(ISNUMBER(J12/Datos!ER12),(H12&lt;&gt;0)),((J12-Datos!ER12)/Datos!ER12)," - ")</f>
        <v xml:space="preserve"> - </v>
      </c>
      <c r="M12" s="433">
        <f>IF(EXACT(Datos!ER12,""),"-",Datos!ER12)</f>
        <v>680</v>
      </c>
    </row>
    <row r="13" spans="1:15" ht="13.5" thickBot="1">
      <c r="A13" s="414" t="str">
        <f>Datos!A13</f>
        <v xml:space="preserve">Jdos. de Menores    </v>
      </c>
      <c r="B13" s="415">
        <f>Datos!BL13</f>
        <v>0</v>
      </c>
      <c r="C13" s="415">
        <f>Datos!AR13</f>
        <v>0</v>
      </c>
      <c r="D13" s="415">
        <f>Datos!BK13</f>
        <v>0</v>
      </c>
      <c r="E13" s="415">
        <f>Datos!AQ13</f>
        <v>0</v>
      </c>
      <c r="F13" s="416" t="str">
        <f>IF(ISNUMBER(E13/Datos!BH13),E13/Datos!BH13," - ")</f>
        <v xml:space="preserve"> - </v>
      </c>
      <c r="G13" s="415" t="str">
        <f>IF(ISNUMBER(Datos!BJ13),Datos!BJ13," - ")</f>
        <v xml:space="preserve"> - </v>
      </c>
      <c r="H13" s="415" t="str">
        <f>IF(ISNUMBER(Datos!AS13),Datos!AS13," - ")</f>
        <v xml:space="preserve"> - </v>
      </c>
      <c r="I13" s="416" t="str">
        <f t="shared" si="0"/>
        <v xml:space="preserve"> - </v>
      </c>
      <c r="J13" s="416" t="str">
        <f t="shared" si="1"/>
        <v xml:space="preserve"> - </v>
      </c>
      <c r="K13" s="432" t="str">
        <f>IF(AND(ISNUMBER(I13/Datos!ER13),(G13&lt;&gt;0)),((I13-Datos!ER13)/Datos!ER13)," - ")</f>
        <v xml:space="preserve"> - </v>
      </c>
      <c r="L13" s="432" t="str">
        <f>IF(AND(ISNUMBER(J13/Datos!ER13),(H13&lt;&gt;0)),((J13-Datos!ER13)/Datos!ER13)," - ")</f>
        <v xml:space="preserve"> - </v>
      </c>
      <c r="M13" s="433">
        <f>IF(EXACT(Datos!ER13,""),"-",Datos!ER13)</f>
        <v>875</v>
      </c>
    </row>
    <row r="14" spans="1:15" ht="14.25" thickTop="1" thickBot="1">
      <c r="A14" s="995"/>
      <c r="B14" s="999"/>
      <c r="C14" s="999"/>
      <c r="D14" s="996"/>
      <c r="E14" s="996"/>
      <c r="F14" s="997"/>
      <c r="G14" s="996"/>
      <c r="H14" s="997"/>
      <c r="I14" s="996"/>
      <c r="J14" s="997"/>
      <c r="K14" s="996"/>
      <c r="L14" s="997"/>
      <c r="M14" s="997"/>
    </row>
    <row r="15" spans="1:15" ht="13.5" thickTop="1">
      <c r="A15" s="408" t="str">
        <f>Datos!A15</f>
        <v xml:space="preserve">Jurisdicción Penal ( 2 ):                      </v>
      </c>
      <c r="B15" s="430"/>
      <c r="C15" s="430"/>
      <c r="D15" s="418"/>
      <c r="E15" s="418"/>
      <c r="F15" s="419"/>
      <c r="G15" s="418"/>
      <c r="H15" s="419"/>
      <c r="I15" s="418"/>
      <c r="J15" s="419"/>
      <c r="K15" s="418"/>
      <c r="L15" s="419"/>
      <c r="M15" s="435"/>
    </row>
    <row r="16" spans="1:15">
      <c r="A16" s="414" t="str">
        <f>Datos!A16</f>
        <v xml:space="preserve">Jdos. Instrucción                               </v>
      </c>
      <c r="B16" s="415">
        <f>Datos!BL16</f>
        <v>0</v>
      </c>
      <c r="C16" s="415">
        <f>Datos!AR16</f>
        <v>0</v>
      </c>
      <c r="D16" s="415">
        <f>Datos!BK16</f>
        <v>0</v>
      </c>
      <c r="E16" s="415">
        <f>Datos!AQ16</f>
        <v>0</v>
      </c>
      <c r="F16" s="416" t="str">
        <f>IF(ISNUMBER(E16/Datos!BH16),E16/Datos!BH16," - ")</f>
        <v xml:space="preserve"> - </v>
      </c>
      <c r="G16" s="415" t="str">
        <f>IF(ISNUMBER(Datos!BJ16),Datos!BJ16," - ")</f>
        <v xml:space="preserve"> - </v>
      </c>
      <c r="H16" s="415" t="str">
        <f>IF(ISNUMBER(Datos!AS16),Datos!AS16," - ")</f>
        <v xml:space="preserve"> - </v>
      </c>
      <c r="I16" s="416" t="str">
        <f t="shared" ref="I16:I19" si="2">IF(ISNUMBER(G16/D16),G16/D16," - ")</f>
        <v xml:space="preserve"> - </v>
      </c>
      <c r="J16" s="416" t="str">
        <f t="shared" ref="J16:J19" si="3">IF(ISNUMBER(H16/E16),H16/E16," - ")</f>
        <v xml:space="preserve"> - </v>
      </c>
      <c r="K16" s="432" t="str">
        <f>IF(AND(ISNUMBER(I16/Datos!ER16),(G16&lt;&gt;0)),((I16-Datos!ER16)/Datos!ER16)," - ")</f>
        <v xml:space="preserve"> - </v>
      </c>
      <c r="L16" s="432" t="str">
        <f>IF(AND(ISNUMBER(J16/Datos!ER16),(H16&lt;&gt;0)),((J16-Datos!ER16)/Datos!ER16)," - ")</f>
        <v xml:space="preserve"> - </v>
      </c>
      <c r="M16" s="433">
        <f>IF(EXACT(Datos!ER16,""),"-",Datos!ER16)</f>
        <v>3300</v>
      </c>
    </row>
    <row r="17" spans="1:13">
      <c r="A17" s="414" t="str">
        <f>Datos!A17</f>
        <v xml:space="preserve">Jdos. 1ª Instª. e Instr.                        </v>
      </c>
      <c r="B17" s="415">
        <f>Datos!BL17</f>
        <v>0</v>
      </c>
      <c r="C17" s="415">
        <f>Datos!AR17</f>
        <v>2</v>
      </c>
      <c r="D17" s="415">
        <f>Datos!BK17</f>
        <v>0</v>
      </c>
      <c r="E17" s="415">
        <f>Datos!AQ17</f>
        <v>2</v>
      </c>
      <c r="F17" s="416">
        <f>IF(ISNUMBER(E17/Datos!BH17),E17/Datos!BH17," - ")</f>
        <v>1</v>
      </c>
      <c r="G17" s="415" t="str">
        <f>IF(ISNUMBER(Datos!BJ17),Datos!BJ17," - ")</f>
        <v xml:space="preserve"> - </v>
      </c>
      <c r="H17" s="415" t="str">
        <f>IF(ISNUMBER(Datos!AS17),Datos!AS17," - ")</f>
        <v xml:space="preserve"> - </v>
      </c>
      <c r="I17" s="416" t="str">
        <f t="shared" si="2"/>
        <v xml:space="preserve"> - </v>
      </c>
      <c r="J17" s="416" t="str">
        <f t="shared" si="3"/>
        <v xml:space="preserve"> - </v>
      </c>
      <c r="K17" s="432" t="str">
        <f>IF(AND(ISNUMBER(I17/Datos!ER17),(G17&lt;&gt;0)),((I17-Datos!ER17)/Datos!ER17)," - ")</f>
        <v xml:space="preserve"> - </v>
      </c>
      <c r="L17" s="432" t="str">
        <f>IF(AND(ISNUMBER(J17/Datos!ER17),(H17&lt;&gt;0)),((J17-Datos!ER17)/Datos!ER17)," - ")</f>
        <v xml:space="preserve"> - </v>
      </c>
      <c r="M17" s="433">
        <f>IF(EXACT(Datos!ER17,""),"-",Datos!ER17)</f>
        <v>1000</v>
      </c>
    </row>
    <row r="18" spans="1:13">
      <c r="A18" s="414" t="str">
        <f>Datos!A18</f>
        <v>Jdos. Violencia contra la mujer</v>
      </c>
      <c r="B18" s="415">
        <f>Datos!BL18</f>
        <v>0</v>
      </c>
      <c r="C18" s="415">
        <f>Datos!AR18</f>
        <v>0</v>
      </c>
      <c r="D18" s="415">
        <f>Datos!BK18</f>
        <v>0</v>
      </c>
      <c r="E18" s="415">
        <f>Datos!AQ18</f>
        <v>0</v>
      </c>
      <c r="F18" s="416">
        <f>IF(ISNUMBER(E18/Datos!BH18),E18/Datos!BH18," - ")</f>
        <v>0</v>
      </c>
      <c r="G18" s="415" t="str">
        <f>IF(ISNUMBER(Datos!BJ18),Datos!BJ18," - ")</f>
        <v xml:space="preserve"> - </v>
      </c>
      <c r="H18" s="415" t="str">
        <f>IF(ISNUMBER(Datos!AS18),Datos!AS18," - ")</f>
        <v xml:space="preserve"> - </v>
      </c>
      <c r="I18" s="416" t="str">
        <f t="shared" si="2"/>
        <v xml:space="preserve"> - </v>
      </c>
      <c r="J18" s="416" t="str">
        <f t="shared" si="3"/>
        <v xml:space="preserve"> - </v>
      </c>
      <c r="K18" s="432" t="str">
        <f>IF(AND(ISNUMBER(I18/Datos!ER18),(G18&lt;&gt;0)),((I18-Datos!ER18)/Datos!ER18)," - ")</f>
        <v xml:space="preserve"> - </v>
      </c>
      <c r="L18" s="432" t="str">
        <f>IF(AND(ISNUMBER(J18/Datos!ER18),(H18&lt;&gt;0)),((J18-Datos!ER18)/Datos!ER18)," - ")</f>
        <v xml:space="preserve"> - </v>
      </c>
      <c r="M18" s="433">
        <f>IF(EXACT(Datos!ER18,""),"-",Datos!ER18)</f>
        <v>1600</v>
      </c>
    </row>
    <row r="19" spans="1:13" ht="13.5" thickBot="1">
      <c r="A19" s="414" t="str">
        <f>Datos!A19</f>
        <v xml:space="preserve">Jdos. de Menores                                </v>
      </c>
      <c r="B19" s="415">
        <f>Datos!BL19</f>
        <v>0</v>
      </c>
      <c r="C19" s="415">
        <f>Datos!AR19</f>
        <v>0</v>
      </c>
      <c r="D19" s="415">
        <f>Datos!BK19</f>
        <v>0</v>
      </c>
      <c r="E19" s="415">
        <f>Datos!AQ19</f>
        <v>0</v>
      </c>
      <c r="F19" s="416" t="str">
        <f>IF(ISNUMBER(E19/Datos!BH19),E19/Datos!BH19," - ")</f>
        <v xml:space="preserve"> - </v>
      </c>
      <c r="G19" s="415" t="str">
        <f>IF(ISNUMBER(Datos!BJ19),Datos!BJ19," - ")</f>
        <v xml:space="preserve"> - </v>
      </c>
      <c r="H19" s="415" t="str">
        <f>IF(ISNUMBER(Datos!AS19),Datos!AS19," - ")</f>
        <v xml:space="preserve"> - </v>
      </c>
      <c r="I19" s="416" t="str">
        <f t="shared" si="2"/>
        <v xml:space="preserve"> - </v>
      </c>
      <c r="J19" s="416" t="str">
        <f t="shared" si="3"/>
        <v xml:space="preserve"> - </v>
      </c>
      <c r="K19" s="432" t="str">
        <f>IF(AND(ISNUMBER(I19/Datos!ER19),(G19&lt;&gt;0)),((I19-Datos!ER19)/Datos!ER19)," - ")</f>
        <v xml:space="preserve"> - </v>
      </c>
      <c r="L19" s="432" t="str">
        <f>IF(AND(ISNUMBER(J19/Datos!ER19),(H19&lt;&gt;0)),((J19-Datos!ER19)/Datos!ER19)," - ")</f>
        <v xml:space="preserve"> - </v>
      </c>
      <c r="M19" s="433">
        <f>IF(EXACT(Datos!ER19,""),"-",Datos!ER19)</f>
        <v>875</v>
      </c>
    </row>
    <row r="20" spans="1:13" ht="14.25" thickTop="1" thickBot="1">
      <c r="A20" s="995"/>
      <c r="B20" s="999"/>
      <c r="C20" s="999"/>
      <c r="D20" s="996"/>
      <c r="E20" s="996"/>
      <c r="F20" s="997"/>
      <c r="G20" s="996"/>
      <c r="H20" s="997"/>
      <c r="I20" s="996"/>
      <c r="J20" s="997"/>
      <c r="K20" s="996"/>
      <c r="L20" s="997"/>
      <c r="M20" s="997"/>
    </row>
    <row r="21" spans="1:13" ht="16.5" customHeight="1" thickTop="1" thickBot="1">
      <c r="A21" s="940"/>
      <c r="B21" s="944"/>
      <c r="C21" s="944"/>
      <c r="D21" s="941"/>
      <c r="E21" s="941"/>
      <c r="F21" s="942"/>
      <c r="G21" s="941"/>
      <c r="H21" s="942"/>
      <c r="I21" s="941"/>
      <c r="J21" s="942"/>
      <c r="K21" s="941"/>
      <c r="L21" s="942"/>
      <c r="M21" s="942"/>
    </row>
    <row r="22" spans="1:13">
      <c r="A22" s="423"/>
      <c r="B22" s="423"/>
      <c r="C22" s="423"/>
      <c r="D22" s="424"/>
    </row>
    <row r="23" spans="1:13">
      <c r="A23" s="423"/>
      <c r="B23" s="423"/>
      <c r="C23" s="423"/>
      <c r="D23" s="423"/>
    </row>
    <row r="24" spans="1:13">
      <c r="A24" s="1356"/>
      <c r="B24" s="1356"/>
      <c r="C24" s="1356"/>
      <c r="D24" s="1356"/>
    </row>
    <row r="25" spans="1:13">
      <c r="A25" s="403" t="str">
        <f>Criterios!A4</f>
        <v>Fecha Informe: 06 jun. 2023</v>
      </c>
      <c r="B25" s="403"/>
      <c r="C25" s="403"/>
    </row>
    <row r="29" spans="1:13">
      <c r="A29" s="426"/>
      <c r="B29" s="426"/>
      <c r="C29" s="426"/>
    </row>
  </sheetData>
  <sheetProtection algorithmName="SHA-512" hashValue="wtjMTYVbw1KcmtmSamzldszEMpjdNmFH0AV8QRUYz3hXRzOkqk4EYxUPT1mThJzP8jwf+1qnUdEIE2ZS/NYNOQ==" saltValue="BBAr3GhOSOwadnNLsLqUIQ==" spinCount="100000" sheet="1" objects="1" scenarios="1"/>
  <mergeCells count="7">
    <mergeCell ref="A24:D2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9"/>
  <sheetViews>
    <sheetView zoomScale="85" zoomScaleNormal="85" workbookViewId="0"/>
  </sheetViews>
  <sheetFormatPr baseColWidth="10" defaultColWidth="11.42578125" defaultRowHeight="12.75"/>
  <cols>
    <col min="1" max="1" width="42.42578125" style="399" customWidth="1"/>
    <col min="2" max="2" width="9.7109375" style="436" customWidth="1"/>
    <col min="3" max="3" width="13.5703125" style="399" hidden="1" customWidth="1"/>
    <col min="4" max="4" width="14.5703125" style="399" customWidth="1"/>
    <col min="5" max="5" width="14.28515625" style="399" customWidth="1"/>
    <col min="6" max="7" width="14.140625" style="399" customWidth="1"/>
    <col min="8" max="8" width="13.85546875" style="399" customWidth="1"/>
    <col min="9" max="9" width="14" style="399" customWidth="1"/>
    <col min="10" max="16384" width="11.42578125" style="399"/>
  </cols>
  <sheetData>
    <row r="1" spans="1:9" ht="105" customHeight="1">
      <c r="G1" s="437"/>
    </row>
    <row r="2" spans="1:9" ht="18.75" customHeight="1">
      <c r="B2" s="438" t="str">
        <f>Criterios!A9 &amp;"  "&amp;Criterios!B9</f>
        <v>Tribunales de Justicia  ANDALUCIA</v>
      </c>
      <c r="C2" s="439"/>
      <c r="D2" s="382"/>
    </row>
    <row r="3" spans="1:9" ht="19.5">
      <c r="A3" s="440" t="s">
        <v>11</v>
      </c>
      <c r="B3" s="441" t="str">
        <f>Criterios!A10 &amp;"  "&amp;Criterios!B10</f>
        <v>Provincias  CORDOBA</v>
      </c>
      <c r="C3" s="439"/>
      <c r="D3" s="440"/>
    </row>
    <row r="4" spans="1:9" ht="13.5" thickBot="1">
      <c r="B4" s="441" t="str">
        <f>Criterios!A11 &amp;"  "&amp;Criterios!B11</f>
        <v>Resumenes por Partidos Judiciales  PUENTE GENIL</v>
      </c>
    </row>
    <row r="5" spans="1:9" ht="15.75" customHeight="1">
      <c r="A5" s="1369" t="str">
        <f>"Año:  " &amp;Criterios!B5 &amp; "                  Trimestre   " &amp;Criterios!D5 &amp; " al " &amp;Criterios!D6</f>
        <v>Año:  2023                  Trimestre   1 al 1</v>
      </c>
      <c r="B5" s="1381" t="s">
        <v>129</v>
      </c>
      <c r="C5" s="1383" t="s">
        <v>136</v>
      </c>
      <c r="D5" s="1359" t="s">
        <v>89</v>
      </c>
      <c r="E5" s="1360"/>
      <c r="F5" s="1359" t="s">
        <v>90</v>
      </c>
      <c r="G5" s="1364"/>
      <c r="H5" s="1359" t="s">
        <v>257</v>
      </c>
      <c r="I5" s="1364"/>
    </row>
    <row r="6" spans="1:9" ht="14.25" customHeight="1" thickBot="1">
      <c r="A6" s="1370"/>
      <c r="B6" s="1382"/>
      <c r="C6" s="1384"/>
      <c r="D6" s="1361"/>
      <c r="E6" s="1362"/>
      <c r="F6" s="1361"/>
      <c r="G6" s="1365"/>
      <c r="H6" s="1361"/>
      <c r="I6" s="1365"/>
    </row>
    <row r="7" spans="1:9" ht="46.5" customHeight="1" thickTop="1" thickBot="1">
      <c r="A7" s="404" t="str">
        <f>Datos!A7</f>
        <v>COMPETENCIAS</v>
      </c>
      <c r="B7" s="442" t="s">
        <v>130</v>
      </c>
      <c r="C7" s="428" t="s">
        <v>130</v>
      </c>
      <c r="D7" s="406" t="s">
        <v>96</v>
      </c>
      <c r="E7" s="407" t="s">
        <v>6</v>
      </c>
      <c r="F7" s="406" t="s">
        <v>97</v>
      </c>
      <c r="G7" s="407" t="s">
        <v>6</v>
      </c>
      <c r="H7" s="406" t="s">
        <v>258</v>
      </c>
      <c r="I7" s="407" t="s">
        <v>6</v>
      </c>
    </row>
    <row r="8" spans="1:9">
      <c r="A8" s="408" t="str">
        <f>Datos!A8</f>
        <v>Jurisdicción Civil ( 1 ):</v>
      </c>
      <c r="B8" s="443"/>
      <c r="C8" s="412"/>
      <c r="D8" s="410"/>
      <c r="E8" s="412"/>
      <c r="F8" s="410"/>
      <c r="G8" s="411"/>
      <c r="H8" s="410"/>
      <c r="I8" s="411"/>
    </row>
    <row r="9" spans="1:9">
      <c r="A9" s="414" t="str">
        <f>Datos!A9</f>
        <v xml:space="preserve">Jdos. 1ª Instancia   </v>
      </c>
      <c r="B9" s="444">
        <f>Datos!AO9</f>
        <v>0</v>
      </c>
      <c r="C9" s="422">
        <f>Datos!AQ9</f>
        <v>0</v>
      </c>
      <c r="D9" s="415" t="str">
        <f>IF(ISNUMBER(Datos!M9),Datos!M9," - ")</f>
        <v xml:space="preserve"> - </v>
      </c>
      <c r="E9" s="416" t="str">
        <f t="shared" ref="E9:E14" si="0">IF(ISNUMBER(D9/B9),D9/B9," - ")</f>
        <v xml:space="preserve"> - </v>
      </c>
      <c r="F9" s="415" t="str">
        <f>IF(ISNUMBER(Datos!N9),Datos!N9," - ")</f>
        <v xml:space="preserve"> - </v>
      </c>
      <c r="G9" s="416" t="str">
        <f t="shared" ref="G9:G14" si="1">IF(ISNUMBER(F9/B9),F9/B9," - ")</f>
        <v xml:space="preserve"> - </v>
      </c>
      <c r="H9" s="415" t="str">
        <f>IF(ISNUMBER(Datos!O9),Datos!O9," - ")</f>
        <v xml:space="preserve"> - </v>
      </c>
      <c r="I9" s="416" t="str">
        <f>IF(ISNUMBER(H9/B9),H9/B9," - ")</f>
        <v xml:space="preserve"> - </v>
      </c>
    </row>
    <row r="10" spans="1:9">
      <c r="A10" s="414" t="str">
        <f>Datos!A10</f>
        <v>Jdos. Violencia contra la mujer</v>
      </c>
      <c r="B10" s="444">
        <f>Datos!AO10</f>
        <v>1</v>
      </c>
      <c r="C10" s="422">
        <f>Datos!AQ10</f>
        <v>0</v>
      </c>
      <c r="D10" s="415">
        <f>IF(ISNUMBER(Datos!M10),Datos!M10," - ")</f>
        <v>1</v>
      </c>
      <c r="E10" s="416">
        <f>IF(ISNUMBER(D10/B10),D10/B10," - ")</f>
        <v>1</v>
      </c>
      <c r="F10" s="415">
        <f>IF(ISNUMBER(Datos!N10),Datos!N10," - ")</f>
        <v>0</v>
      </c>
      <c r="G10" s="416">
        <f>IF(ISNUMBER(F10/B10),F10/B10," - ")</f>
        <v>0</v>
      </c>
      <c r="H10" s="415">
        <f>IF(ISNUMBER(Datos!O10),Datos!O10," - ")</f>
        <v>0</v>
      </c>
      <c r="I10" s="416">
        <f t="shared" ref="I10:I13" si="2">IF(ISNUMBER(H10/B10),H10/B10," - ")</f>
        <v>0</v>
      </c>
    </row>
    <row r="11" spans="1:9">
      <c r="A11" s="414" t="str">
        <f>Datos!A11</f>
        <v xml:space="preserve">Jdos. Familia                                   </v>
      </c>
      <c r="B11" s="444">
        <f>Datos!AO11</f>
        <v>0</v>
      </c>
      <c r="C11" s="422">
        <f>Datos!AQ11</f>
        <v>0</v>
      </c>
      <c r="D11" s="415" t="str">
        <f>IF(ISNUMBER(Datos!M11),Datos!M11," - ")</f>
        <v xml:space="preserve"> - </v>
      </c>
      <c r="E11" s="416" t="str">
        <f t="shared" si="0"/>
        <v xml:space="preserve"> - </v>
      </c>
      <c r="F11" s="415" t="str">
        <f>IF(ISNUMBER(Datos!N11),Datos!N11," - ")</f>
        <v xml:space="preserve"> - </v>
      </c>
      <c r="G11" s="416" t="str">
        <f t="shared" si="1"/>
        <v xml:space="preserve"> - </v>
      </c>
      <c r="H11" s="415" t="str">
        <f>IF(ISNUMBER(Datos!O11),Datos!O11," - ")</f>
        <v xml:space="preserve"> - </v>
      </c>
      <c r="I11" s="416" t="str">
        <f t="shared" si="2"/>
        <v xml:space="preserve"> - </v>
      </c>
    </row>
    <row r="12" spans="1:9">
      <c r="A12" s="414" t="str">
        <f>Datos!A12</f>
        <v xml:space="preserve">Jdos. 1ª Instª. e Instr.                        </v>
      </c>
      <c r="B12" s="444">
        <f>Datos!AO12</f>
        <v>2</v>
      </c>
      <c r="C12" s="422">
        <f>Datos!AQ12</f>
        <v>2</v>
      </c>
      <c r="D12" s="415">
        <f>IF(ISNUMBER(Datos!M12),Datos!M12," - ")</f>
        <v>83</v>
      </c>
      <c r="E12" s="416">
        <f t="shared" si="0"/>
        <v>41.5</v>
      </c>
      <c r="F12" s="415">
        <f>IF(ISNUMBER(Datos!N12),Datos!N12," - ")</f>
        <v>114</v>
      </c>
      <c r="G12" s="416">
        <f t="shared" si="1"/>
        <v>57</v>
      </c>
      <c r="H12" s="415">
        <f>IF(ISNUMBER(Datos!O12),Datos!O12," - ")</f>
        <v>141</v>
      </c>
      <c r="I12" s="416">
        <f t="shared" si="2"/>
        <v>70.5</v>
      </c>
    </row>
    <row r="13" spans="1:9" ht="13.5" thickBot="1">
      <c r="A13" s="414" t="str">
        <f>Datos!A13</f>
        <v xml:space="preserve">Jdos. de Menores    </v>
      </c>
      <c r="B13" s="444">
        <f>Datos!AO13</f>
        <v>0</v>
      </c>
      <c r="C13" s="422">
        <f>Datos!AQ13</f>
        <v>0</v>
      </c>
      <c r="D13" s="415" t="str">
        <f>IF(ISNUMBER(Datos!M13),Datos!M13," - ")</f>
        <v xml:space="preserve"> - </v>
      </c>
      <c r="E13" s="416" t="str">
        <f>IF(ISNUMBER(D13/B13),D13/B13," - ")</f>
        <v xml:space="preserve"> - </v>
      </c>
      <c r="F13" s="415" t="str">
        <f>IF(ISNUMBER(Datos!N13),Datos!N13," - ")</f>
        <v xml:space="preserve"> - </v>
      </c>
      <c r="G13" s="416" t="str">
        <f>IF(ISNUMBER(F13/B13),F13/B13," - ")</f>
        <v xml:space="preserve"> - </v>
      </c>
      <c r="H13" s="415" t="str">
        <f>IF(ISNUMBER(Datos!O13),Datos!O13," - ")</f>
        <v xml:space="preserve"> - </v>
      </c>
      <c r="I13" s="416" t="str">
        <f t="shared" si="2"/>
        <v xml:space="preserve"> - </v>
      </c>
    </row>
    <row r="14" spans="1:9" ht="14.25" thickTop="1" thickBot="1">
      <c r="A14" s="995" t="str">
        <f>Datos!A14</f>
        <v>TOTAL</v>
      </c>
      <c r="B14" s="996">
        <f>Datos!AO14</f>
        <v>3</v>
      </c>
      <c r="C14" s="998">
        <f>Datos!AR14</f>
        <v>2</v>
      </c>
      <c r="D14" s="996">
        <f>SUBTOTAL(9,D9:D13)</f>
        <v>84</v>
      </c>
      <c r="E14" s="997">
        <f t="shared" si="0"/>
        <v>28</v>
      </c>
      <c r="F14" s="996">
        <f>SUBTOTAL(9,F9:F13)</f>
        <v>114</v>
      </c>
      <c r="G14" s="997">
        <f t="shared" si="1"/>
        <v>38</v>
      </c>
      <c r="H14" s="996">
        <f>SUBTOTAL(9,H9:H13)</f>
        <v>141</v>
      </c>
      <c r="I14" s="997">
        <f>IF(ISNUMBER(H14/B14),H14/B14," - ")</f>
        <v>47</v>
      </c>
    </row>
    <row r="15" spans="1:9" ht="13.5" thickTop="1">
      <c r="A15" s="408" t="str">
        <f>Datos!A15</f>
        <v xml:space="preserve">Jurisdicción Penal ( 2 ):                      </v>
      </c>
      <c r="B15" s="444">
        <f>Datos!AO15</f>
        <v>0</v>
      </c>
      <c r="C15" s="420"/>
      <c r="D15" s="418"/>
      <c r="E15" s="419"/>
      <c r="F15" s="418"/>
      <c r="G15" s="419"/>
      <c r="H15" s="418"/>
      <c r="I15" s="419"/>
    </row>
    <row r="16" spans="1:9">
      <c r="A16" s="414" t="str">
        <f>Datos!A16</f>
        <v xml:space="preserve">Jdos. Instrucción                               </v>
      </c>
      <c r="B16" s="444">
        <f>Datos!AO16</f>
        <v>0</v>
      </c>
      <c r="C16" s="445">
        <f>Datos!AQ16</f>
        <v>0</v>
      </c>
      <c r="D16" s="415" t="str">
        <f>IF(ISNUMBER(Datos!M16),Datos!M16," - ")</f>
        <v xml:space="preserve"> - </v>
      </c>
      <c r="E16" s="416" t="str">
        <f t="shared" ref="E16:E20" si="3">IF(ISNUMBER(D16/B16),D16/B16," - ")</f>
        <v xml:space="preserve"> - </v>
      </c>
      <c r="F16" s="415" t="str">
        <f>IF(ISNUMBER(Datos!N16),Datos!N16," - ")</f>
        <v xml:space="preserve"> - </v>
      </c>
      <c r="G16" s="416" t="str">
        <f t="shared" ref="G16:G20" si="4">IF(ISNUMBER(F16/B16),F16/B16," - ")</f>
        <v xml:space="preserve"> - </v>
      </c>
      <c r="H16" s="415" t="str">
        <f>IF(ISNUMBER(Datos!O16),Datos!O16," - ")</f>
        <v xml:space="preserve"> - </v>
      </c>
      <c r="I16" s="416" t="str">
        <f t="shared" ref="I16:I19" si="5">IF(ISNUMBER(H16/B16),H16/B16," - ")</f>
        <v xml:space="preserve"> - </v>
      </c>
    </row>
    <row r="17" spans="1:9">
      <c r="A17" s="414" t="str">
        <f>Datos!A17</f>
        <v xml:space="preserve">Jdos. 1ª Instª. e Instr.                        </v>
      </c>
      <c r="B17" s="444">
        <f>Datos!AO17</f>
        <v>2</v>
      </c>
      <c r="C17" s="445">
        <f>Datos!AQ17</f>
        <v>2</v>
      </c>
      <c r="D17" s="415">
        <f>IF(ISNUMBER(Datos!M17),Datos!M17," - ")</f>
        <v>86</v>
      </c>
      <c r="E17" s="416">
        <f t="shared" si="3"/>
        <v>43</v>
      </c>
      <c r="F17" s="415">
        <f>IF(ISNUMBER(Datos!N17),Datos!N17," - ")</f>
        <v>431</v>
      </c>
      <c r="G17" s="416">
        <f t="shared" si="4"/>
        <v>215.5</v>
      </c>
      <c r="H17" s="415">
        <f>IF(ISNUMBER(Datos!O17),Datos!O17," - ")</f>
        <v>0</v>
      </c>
      <c r="I17" s="416">
        <f t="shared" si="5"/>
        <v>0</v>
      </c>
    </row>
    <row r="18" spans="1:9">
      <c r="A18" s="414" t="str">
        <f>Datos!A18</f>
        <v>Jdos. Violencia contra la mujer</v>
      </c>
      <c r="B18" s="444">
        <f>Datos!AO18</f>
        <v>1</v>
      </c>
      <c r="C18" s="445">
        <f>Datos!AQ18</f>
        <v>0</v>
      </c>
      <c r="D18" s="415">
        <f>IF(ISNUMBER(Datos!M18),Datos!M18," - ")</f>
        <v>5</v>
      </c>
      <c r="E18" s="416">
        <f>IF(ISNUMBER(D18/B18),D18/B18," - ")</f>
        <v>5</v>
      </c>
      <c r="F18" s="415">
        <f>IF(ISNUMBER(Datos!N18),Datos!N18," - ")</f>
        <v>14</v>
      </c>
      <c r="G18" s="416">
        <f>IF(ISNUMBER(F18/B18),F18/B18," - ")</f>
        <v>14</v>
      </c>
      <c r="H18" s="415">
        <f>IF(ISNUMBER(Datos!O18),Datos!O18," - ")</f>
        <v>0</v>
      </c>
      <c r="I18" s="416">
        <f t="shared" si="5"/>
        <v>0</v>
      </c>
    </row>
    <row r="19" spans="1:9" ht="13.5" thickBot="1">
      <c r="A19" s="414" t="str">
        <f>Datos!A19</f>
        <v xml:space="preserve">Jdos. de Menores                                </v>
      </c>
      <c r="B19" s="444">
        <f>Datos!AO19</f>
        <v>0</v>
      </c>
      <c r="C19" s="445">
        <f>Datos!AQ19</f>
        <v>0</v>
      </c>
      <c r="D19" s="415" t="str">
        <f>IF(ISNUMBER(Datos!M19),Datos!M19," - ")</f>
        <v xml:space="preserve"> - </v>
      </c>
      <c r="E19" s="416" t="str">
        <f t="shared" si="3"/>
        <v xml:space="preserve"> - </v>
      </c>
      <c r="F19" s="415" t="str">
        <f>IF(ISNUMBER(Datos!N19),Datos!N19," - ")</f>
        <v xml:space="preserve"> - </v>
      </c>
      <c r="G19" s="416" t="str">
        <f t="shared" si="4"/>
        <v xml:space="preserve"> - </v>
      </c>
      <c r="H19" s="415" t="str">
        <f>IF(ISNUMBER(Datos!O19),Datos!O19," - ")</f>
        <v xml:space="preserve"> - </v>
      </c>
      <c r="I19" s="416" t="str">
        <f t="shared" si="5"/>
        <v xml:space="preserve"> - </v>
      </c>
    </row>
    <row r="20" spans="1:9" ht="14.25" thickTop="1" thickBot="1">
      <c r="A20" s="995" t="str">
        <f>Datos!A20</f>
        <v>TOTAL</v>
      </c>
      <c r="B20" s="996">
        <f>Datos!AO20</f>
        <v>3</v>
      </c>
      <c r="C20" s="998">
        <f>Datos!AR20</f>
        <v>2</v>
      </c>
      <c r="D20" s="996">
        <f>SUBTOTAL(9,D16:D19)</f>
        <v>91</v>
      </c>
      <c r="E20" s="997">
        <f t="shared" si="3"/>
        <v>30.333333333333332</v>
      </c>
      <c r="F20" s="996">
        <f>SUBTOTAL(9,F16:F19)</f>
        <v>445</v>
      </c>
      <c r="G20" s="997">
        <f t="shared" si="4"/>
        <v>148.33333333333334</v>
      </c>
      <c r="H20" s="996">
        <f>SUBTOTAL(9,H16:H19)</f>
        <v>0</v>
      </c>
      <c r="I20" s="997">
        <f>IF(ISNUMBER(H20/B20),H20/B20," - ")</f>
        <v>0</v>
      </c>
    </row>
    <row r="21" spans="1:9" ht="14.25" thickTop="1" thickBot="1">
      <c r="A21" s="940" t="str">
        <f>Datos!A21</f>
        <v>TOTAL JURISDICCIONES</v>
      </c>
      <c r="B21" s="941">
        <f>Datos!AP21</f>
        <v>2</v>
      </c>
      <c r="C21" s="941">
        <f>Datos!AR21</f>
        <v>2</v>
      </c>
      <c r="D21" s="941">
        <f>SUBTOTAL(9,D8:D20)</f>
        <v>175</v>
      </c>
      <c r="E21" s="942">
        <f>IF(ISNUMBER(D21/B21),D21/B21," - ")</f>
        <v>87.5</v>
      </c>
      <c r="F21" s="941">
        <f>SUBTOTAL(9,F8:F20)</f>
        <v>559</v>
      </c>
      <c r="G21" s="942">
        <f>IF(ISNUMBER(F21/B21),F21/B21," - ")</f>
        <v>279.5</v>
      </c>
      <c r="H21" s="941">
        <f>SUBTOTAL(9,H8:H20)</f>
        <v>141</v>
      </c>
      <c r="I21" s="942">
        <f>IF(ISNUMBER(H21/B21),H21/B21," - ")</f>
        <v>70.5</v>
      </c>
    </row>
    <row r="24" spans="1:9">
      <c r="A24" s="403" t="str">
        <f>Criterios!A4</f>
        <v>Fecha Informe: 06 jun. 2023</v>
      </c>
    </row>
    <row r="29" spans="1:9">
      <c r="A29" s="426"/>
    </row>
  </sheetData>
  <sheetProtection algorithmName="SHA-512" hashValue="5KCqvE+VJUAW5CkCdMW54rkxih65is+RDc1VuOgEFimp2J7ADE+EsVa/L3Z6fzxRDz3IA0+gJTDYk0udPS4C3Q==" saltValue="fAJTFXkXTWn6k8yOugcch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9"/>
  <sheetViews>
    <sheetView zoomScale="85" zoomScaleNormal="85" workbookViewId="0"/>
  </sheetViews>
  <sheetFormatPr baseColWidth="10" defaultColWidth="11.42578125" defaultRowHeight="12.75"/>
  <cols>
    <col min="1" max="1" width="45.28515625" style="399" customWidth="1"/>
    <col min="2" max="2" width="14.140625" style="399" customWidth="1"/>
    <col min="3" max="3" width="14.28515625" style="399" customWidth="1"/>
    <col min="4" max="4" width="14" style="399" customWidth="1"/>
    <col min="5" max="16384" width="11.42578125" style="399"/>
  </cols>
  <sheetData>
    <row r="1" spans="1:4" ht="106.5" customHeight="1"/>
    <row r="2" spans="1:4" ht="16.5" customHeight="1">
      <c r="B2" s="401" t="str">
        <f>Criterios!A9 &amp;"  "&amp;Criterios!B9</f>
        <v>Tribunales de Justicia  ANDALUCIA</v>
      </c>
    </row>
    <row r="3" spans="1:4" ht="19.5">
      <c r="A3" s="446" t="s">
        <v>33</v>
      </c>
      <c r="B3" s="403" t="str">
        <f>Criterios!A10 &amp;"  "&amp;Criterios!B10</f>
        <v>Provincias  CORDOBA</v>
      </c>
    </row>
    <row r="4" spans="1:4" ht="13.5" thickBot="1">
      <c r="B4" s="403" t="str">
        <f>Criterios!A11 &amp;"  "&amp;Criterios!B11</f>
        <v>Resumenes por Partidos Judiciales  PUENTE GENIL</v>
      </c>
    </row>
    <row r="5" spans="1:4" ht="12.75" customHeight="1">
      <c r="A5" s="1369" t="str">
        <f>"Año:  " &amp;Criterios!B5 &amp; "                  Trimestre   " &amp;Criterios!D5 &amp; " al " &amp;Criterios!D6</f>
        <v>Año:  2023                  Trimestre   1 al 1</v>
      </c>
      <c r="B5" s="1385" t="s">
        <v>10</v>
      </c>
      <c r="C5" s="1385" t="s">
        <v>14</v>
      </c>
      <c r="D5" s="1385" t="s">
        <v>142</v>
      </c>
    </row>
    <row r="6" spans="1:4" ht="15.75" customHeight="1">
      <c r="A6" s="1370"/>
      <c r="B6" s="1386"/>
      <c r="C6" s="1386"/>
      <c r="D6" s="1386"/>
    </row>
    <row r="7" spans="1:4" ht="26.25" customHeight="1" thickBot="1">
      <c r="A7" s="404" t="str">
        <f>Datos!A7</f>
        <v>COMPETENCIAS</v>
      </c>
      <c r="B7" s="1387"/>
      <c r="C7" s="1387"/>
      <c r="D7" s="1387"/>
    </row>
    <row r="8" spans="1:4">
      <c r="A8" s="408" t="str">
        <f>Datos!A8</f>
        <v>Jurisdicción Civil ( 1 ):</v>
      </c>
      <c r="B8" s="447"/>
      <c r="C8" s="448"/>
      <c r="D8" s="449"/>
    </row>
    <row r="9" spans="1:4">
      <c r="A9" s="414" t="str">
        <f>Datos!A9</f>
        <v xml:space="preserve">Jdos. 1ª Instancia   </v>
      </c>
      <c r="B9" s="450" t="str">
        <f>IF(ISNUMBER(Datos!P9),Datos!P9," - ")</f>
        <v xml:space="preserve"> - </v>
      </c>
      <c r="C9" s="451" t="str">
        <f>IF(ISNUMBER(Datos!Q9),Datos!Q9," - ")</f>
        <v xml:space="preserve"> - </v>
      </c>
      <c r="D9" s="420" t="str">
        <f>IF(ISNUMBER(Datos!R9),Datos!R9," - ")</f>
        <v xml:space="preserve"> - </v>
      </c>
    </row>
    <row r="10" spans="1:4">
      <c r="A10" s="414" t="str">
        <f>Datos!A10</f>
        <v>Jdos. Violencia contra la mujer</v>
      </c>
      <c r="B10" s="450">
        <f>IF(ISNUMBER(Datos!P10),Datos!P10," - ")</f>
        <v>0</v>
      </c>
      <c r="C10" s="451">
        <f>IF(ISNUMBER(Datos!Q10),Datos!Q10," - ")</f>
        <v>0</v>
      </c>
      <c r="D10" s="420">
        <f>IF(ISNUMBER(Datos!R10),Datos!R10," - ")</f>
        <v>7</v>
      </c>
    </row>
    <row r="11" spans="1:4">
      <c r="A11" s="414" t="str">
        <f>Datos!A11</f>
        <v xml:space="preserve">Jdos. Familia                                   </v>
      </c>
      <c r="B11" s="450" t="str">
        <f>IF(ISNUMBER(Datos!P11),Datos!P11," - ")</f>
        <v xml:space="preserve"> - </v>
      </c>
      <c r="C11" s="451" t="str">
        <f>IF(ISNUMBER(Datos!Q11),Datos!Q11," - ")</f>
        <v xml:space="preserve"> - </v>
      </c>
      <c r="D11" s="420" t="str">
        <f>IF(ISNUMBER(Datos!R11),Datos!R11," - ")</f>
        <v xml:space="preserve"> - </v>
      </c>
    </row>
    <row r="12" spans="1:4">
      <c r="A12" s="414" t="str">
        <f>Datos!A12</f>
        <v xml:space="preserve">Jdos. 1ª Instª. e Instr.                        </v>
      </c>
      <c r="B12" s="450">
        <f>IF(ISNUMBER(Datos!P12),Datos!P12," - ")</f>
        <v>77</v>
      </c>
      <c r="C12" s="451">
        <f>IF(ISNUMBER(Datos!Q12),Datos!Q12," - ")</f>
        <v>33</v>
      </c>
      <c r="D12" s="420">
        <f>IF(ISNUMBER(Datos!R12),Datos!R12," - ")</f>
        <v>1356</v>
      </c>
    </row>
    <row r="13" spans="1:4" ht="13.5" thickBot="1">
      <c r="A13" s="414" t="str">
        <f>Datos!A13</f>
        <v xml:space="preserve">Jdos. de Menores    </v>
      </c>
      <c r="B13" s="450" t="str">
        <f>IF(ISNUMBER(Datos!P13),Datos!P13," - ")</f>
        <v xml:space="preserve"> - </v>
      </c>
      <c r="C13" s="451" t="str">
        <f>IF(ISNUMBER(Datos!Q13),Datos!Q13," - ")</f>
        <v xml:space="preserve"> - </v>
      </c>
      <c r="D13" s="420" t="str">
        <f>IF(ISNUMBER(Datos!R13),Datos!R13," - ")</f>
        <v xml:space="preserve"> - </v>
      </c>
    </row>
    <row r="14" spans="1:4" ht="14.25" thickTop="1" thickBot="1">
      <c r="A14" s="995" t="str">
        <f>Datos!A14</f>
        <v>TOTAL</v>
      </c>
      <c r="B14" s="996">
        <f>SUBTOTAL(9,B9:B13)</f>
        <v>77</v>
      </c>
      <c r="C14" s="1000">
        <f>SUBTOTAL(9,C9:C13)</f>
        <v>33</v>
      </c>
      <c r="D14" s="998">
        <f>SUBTOTAL(9,D9:D13)</f>
        <v>1363</v>
      </c>
    </row>
    <row r="15" spans="1:4" ht="13.5" thickTop="1">
      <c r="A15" s="408" t="str">
        <f>Datos!A15</f>
        <v xml:space="preserve">Jurisdicción Penal ( 2 ):                      </v>
      </c>
      <c r="B15" s="418"/>
      <c r="C15" s="452"/>
      <c r="D15" s="420"/>
    </row>
    <row r="16" spans="1:4">
      <c r="A16" s="414" t="str">
        <f>Datos!A16</f>
        <v xml:space="preserve">Jdos. Instrucción                               </v>
      </c>
      <c r="B16" s="450" t="str">
        <f>IF(ISNUMBER(Datos!P16),Datos!P16," - ")</f>
        <v xml:space="preserve"> - </v>
      </c>
      <c r="C16" s="451" t="str">
        <f>IF(ISNUMBER(Datos!Q16),Datos!Q16," - ")</f>
        <v xml:space="preserve"> - </v>
      </c>
      <c r="D16" s="420" t="str">
        <f>IF(ISNUMBER(Datos!R16),Datos!R16," - ")</f>
        <v xml:space="preserve"> - </v>
      </c>
    </row>
    <row r="17" spans="1:4">
      <c r="A17" s="414" t="str">
        <f>Datos!A17</f>
        <v xml:space="preserve">Jdos. 1ª Instª. e Instr.                        </v>
      </c>
      <c r="B17" s="450">
        <f>IF(ISNUMBER(Datos!P17),Datos!P17," - ")</f>
        <v>9</v>
      </c>
      <c r="C17" s="451">
        <f>IF(ISNUMBER(Datos!Q17),Datos!Q17," - ")</f>
        <v>32</v>
      </c>
      <c r="D17" s="420">
        <f>IF(ISNUMBER(Datos!R17),Datos!R17," - ")</f>
        <v>30</v>
      </c>
    </row>
    <row r="18" spans="1:4">
      <c r="A18" s="414" t="str">
        <f>Datos!A18</f>
        <v>Jdos. Violencia contra la mujer</v>
      </c>
      <c r="B18" s="450">
        <f>IF(ISNUMBER(Datos!P18),Datos!P18," - ")</f>
        <v>0</v>
      </c>
      <c r="C18" s="451">
        <f>IF(ISNUMBER(Datos!Q18),Datos!Q18," - ")</f>
        <v>0</v>
      </c>
      <c r="D18" s="420">
        <f>IF(ISNUMBER(Datos!R18),Datos!R18," - ")</f>
        <v>0</v>
      </c>
    </row>
    <row r="19" spans="1:4" ht="13.5" thickBot="1">
      <c r="A19" s="414" t="str">
        <f>Datos!A19</f>
        <v xml:space="preserve">Jdos. de Menores                                </v>
      </c>
      <c r="B19" s="450" t="str">
        <f>IF(ISNUMBER(Datos!P19),Datos!P19," - ")</f>
        <v xml:space="preserve"> - </v>
      </c>
      <c r="C19" s="451" t="str">
        <f>IF(ISNUMBER(Datos!Q19),Datos!Q19," - ")</f>
        <v xml:space="preserve"> - </v>
      </c>
      <c r="D19" s="420" t="str">
        <f>IF(ISNUMBER(Datos!R19),Datos!R19," - ")</f>
        <v xml:space="preserve"> - </v>
      </c>
    </row>
    <row r="20" spans="1:4" ht="14.25" thickTop="1" thickBot="1">
      <c r="A20" s="995" t="str">
        <f>Datos!A20</f>
        <v>TOTAL</v>
      </c>
      <c r="B20" s="996">
        <f>SUBTOTAL(9,B16:B19)</f>
        <v>9</v>
      </c>
      <c r="C20" s="1000">
        <f>SUBTOTAL(9,C16:C19)</f>
        <v>32</v>
      </c>
      <c r="D20" s="998">
        <f>SUBTOTAL(9,D16:D19)</f>
        <v>30</v>
      </c>
    </row>
    <row r="21" spans="1:4" ht="16.5" customHeight="1" thickTop="1" thickBot="1">
      <c r="A21" s="940" t="str">
        <f>Datos!A21</f>
        <v>TOTAL JURISDICCIONES</v>
      </c>
      <c r="B21" s="945">
        <f>SUBTOTAL(9,B8:B20)</f>
        <v>86</v>
      </c>
      <c r="C21" s="946">
        <f>SUBTOTAL(9,C8:C20)</f>
        <v>65</v>
      </c>
      <c r="D21" s="947">
        <f>SUBTOTAL(9,D8:D20)</f>
        <v>1393</v>
      </c>
    </row>
    <row r="22" spans="1:4" ht="7.5" customHeight="1"/>
    <row r="23" spans="1:4" ht="6" customHeight="1"/>
    <row r="24" spans="1:4">
      <c r="A24" s="403" t="str">
        <f>Criterios!A4</f>
        <v>Fecha Informe: 06 jun. 2023</v>
      </c>
    </row>
    <row r="29" spans="1:4">
      <c r="A29" s="426"/>
    </row>
  </sheetData>
  <sheetProtection algorithmName="SHA-512" hashValue="wkC/yECzLb6AXnEShI0mRm3055XrNwsT6KGbC+Ner89Du8RjgBkhENSUNe/SoRkweyFioLYFy043opGKed//BA==" saltValue="zEC1vmLkreROiFmxC7CW3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1"/>
  <sheetViews>
    <sheetView zoomScale="85" zoomScaleNormal="85" workbookViewId="0">
      <selection activeCell="D9" sqref="D9"/>
    </sheetView>
  </sheetViews>
  <sheetFormatPr baseColWidth="10" defaultColWidth="11.42578125" defaultRowHeight="12.75"/>
  <cols>
    <col min="1" max="1" width="32" style="399" customWidth="1"/>
    <col min="2" max="2" width="13.28515625" style="399" customWidth="1"/>
    <col min="3" max="3" width="12" style="399" customWidth="1"/>
    <col min="4" max="4" width="10.5703125" style="399" bestFit="1" customWidth="1"/>
    <col min="5" max="5" width="13.42578125" style="399" bestFit="1" customWidth="1"/>
    <col min="6" max="6" width="11.140625" style="399" customWidth="1"/>
    <col min="7" max="7" width="11.28515625" style="399" customWidth="1"/>
    <col min="8" max="8" width="12.7109375" style="399" bestFit="1" customWidth="1"/>
    <col min="9" max="10" width="12.28515625" style="399" customWidth="1"/>
    <col min="11" max="11" width="12.7109375" style="399" bestFit="1" customWidth="1"/>
    <col min="12" max="16384" width="11.42578125" style="399"/>
  </cols>
  <sheetData>
    <row r="1" spans="1:11" ht="97.5" customHeight="1"/>
    <row r="2" spans="1:11" ht="10.5" customHeight="1">
      <c r="B2" s="401" t="str">
        <f>Criterios!A9 &amp;"  "&amp;Criterios!B9</f>
        <v>Tribunales de Justicia  ANDALUCIA</v>
      </c>
    </row>
    <row r="3" spans="1:11" ht="18.75" customHeight="1">
      <c r="A3" s="446" t="s">
        <v>131</v>
      </c>
      <c r="B3" s="403" t="str">
        <f>Criterios!A10 &amp;"  "&amp;Criterios!B10</f>
        <v>Provincias  CORDOBA</v>
      </c>
    </row>
    <row r="4" spans="1:11" ht="10.5" customHeight="1" thickBot="1">
      <c r="B4" s="403" t="str">
        <f>Criterios!A11 &amp;"  "&amp;Criterios!B11</f>
        <v>Resumenes por Partidos Judiciales  PUENTE GENIL</v>
      </c>
    </row>
    <row r="5" spans="1:11" ht="12.75" customHeight="1">
      <c r="A5" s="1369" t="str">
        <f>"Año:  " &amp;Criterios!B5 &amp; "    Trimestre   " &amp;Criterios!D5 &amp; " al " &amp;Criterios!D6</f>
        <v>Año:  2023    Trimestre   1 al 1</v>
      </c>
      <c r="B5" s="1403" t="s">
        <v>141</v>
      </c>
      <c r="C5" s="1366" t="s">
        <v>13</v>
      </c>
      <c r="D5" s="1350" t="s">
        <v>9</v>
      </c>
      <c r="E5" s="1350" t="s">
        <v>142</v>
      </c>
      <c r="F5" s="1366" t="s">
        <v>7</v>
      </c>
      <c r="G5" s="1390" t="s">
        <v>8</v>
      </c>
      <c r="H5" s="1383" t="s">
        <v>132</v>
      </c>
      <c r="I5" s="1395" t="s">
        <v>133</v>
      </c>
      <c r="J5" s="1398" t="s">
        <v>134</v>
      </c>
      <c r="K5" s="1363" t="s">
        <v>135</v>
      </c>
    </row>
    <row r="6" spans="1:11" ht="12.75" customHeight="1">
      <c r="A6" s="1370"/>
      <c r="B6" s="1404"/>
      <c r="C6" s="1367"/>
      <c r="D6" s="1351"/>
      <c r="E6" s="1351"/>
      <c r="F6" s="1367"/>
      <c r="G6" s="1391"/>
      <c r="H6" s="1393"/>
      <c r="I6" s="1396"/>
      <c r="J6" s="1399"/>
      <c r="K6" s="1401"/>
    </row>
    <row r="7" spans="1:11" ht="23.25" customHeight="1" thickBot="1">
      <c r="A7" s="404" t="str">
        <f>Datos!A7</f>
        <v>COMPETENCIAS</v>
      </c>
      <c r="B7" s="1405"/>
      <c r="C7" s="1368"/>
      <c r="D7" s="1352"/>
      <c r="E7" s="1352"/>
      <c r="F7" s="1368"/>
      <c r="G7" s="1392"/>
      <c r="H7" s="1394"/>
      <c r="I7" s="1397"/>
      <c r="J7" s="1400"/>
      <c r="K7" s="1402"/>
    </row>
    <row r="8" spans="1:11">
      <c r="A8" s="408" t="str">
        <f>Datos!A8</f>
        <v>Jurisdicción Civil ( 1 ):</v>
      </c>
      <c r="B8" s="466"/>
      <c r="C8" s="467"/>
      <c r="D8" s="467"/>
      <c r="E8" s="467"/>
      <c r="F8" s="468"/>
      <c r="G8" s="469"/>
      <c r="H8" s="455"/>
      <c r="I8" s="456"/>
      <c r="J8" s="457"/>
      <c r="K8" s="470"/>
    </row>
    <row r="9" spans="1:11">
      <c r="A9" s="414" t="str">
        <f>Datos!A9</f>
        <v xml:space="preserve">Jdos. 1ª Instancia   </v>
      </c>
      <c r="B9" s="472" t="str">
        <f>IF(ISNUMBER(
   IF(J_V="SI",(Datos!I9-Datos!S9)/Datos!S9,(Datos!I9+Datos!Y9-(Datos!S9+Datos!AG9))/(Datos!S9+Datos!AG9))
     ),IF(J_V="SI",(Datos!I9-Datos!S9)/Datos!S9,(Datos!I9+Datos!Y9-(Datos!S9+Datos!AG9))/(Datos!S9+Datos!AG9))," - ")</f>
        <v xml:space="preserve"> - </v>
      </c>
      <c r="C9" s="473" t="str">
        <f>IF(ISNUMBER(
   IF(J_V="SI",(Datos!J9-Datos!T9)/Datos!T9,(Datos!J9+Datos!Z9-(Datos!T9+Datos!AH9))/(Datos!T9+Datos!AH9))
     ),IF(J_V="SI",(Datos!J9-Datos!T9)/Datos!T9,(Datos!J9+Datos!Z9-(Datos!T9+Datos!AH9))/(Datos!T9+Datos!AH9))," - ")</f>
        <v xml:space="preserve"> - </v>
      </c>
      <c r="D9" s="473" t="str">
        <f>IF(ISNUMBER(
   IF(J_V="SI",(Datos!K9-Datos!U9)/Datos!U9,(Datos!K9+Datos!AA9-(Datos!U9+Datos!AI9))/(Datos!U9+Datos!AI9))
     ),IF(J_V="SI",(Datos!K9-Datos!U9)/Datos!U9,(Datos!K9+Datos!AA9-(Datos!U9+Datos!AI9))/(Datos!U9+Datos!AI9))," - ")</f>
        <v xml:space="preserve"> - </v>
      </c>
      <c r="E9" s="473" t="str">
        <f>IF(ISNUMBER(
   IF(J_V="SI",(Datos!L9-Datos!V9)/Datos!V9,(Datos!L9+Datos!AB9-(Datos!V9+Datos!AJ9))/(Datos!V9+Datos!AJ9))
     ),IF(J_V="SI",(Datos!L9-Datos!V9)/Datos!V9,(Datos!L9+Datos!AB9-(Datos!V9+Datos!AJ9))/(Datos!V9+Datos!AJ9))," - ")</f>
        <v xml:space="preserve"> - </v>
      </c>
      <c r="F9" s="473" t="str">
        <f>IF(ISNUMBER((Datos!M9-Datos!W9)/Datos!W9),(Datos!M9-Datos!W9)/Datos!W9," - ")</f>
        <v xml:space="preserve"> - </v>
      </c>
      <c r="G9" s="474" t="str">
        <f>IF(ISNUMBER((Datos!N9-Datos!X9)/Datos!X9),(Datos!N9-Datos!X9)/Datos!X9," - ")</f>
        <v xml:space="preserve"> - </v>
      </c>
      <c r="H9" s="472" t="str">
        <f>IF(ISNUMBER(((NºAsuntos!G9/NºAsuntos!E9)-Datos!BD9)/Datos!BD9),((NºAsuntos!G9/NºAsuntos!E9)-Datos!BD9)/Datos!BD9," - ")</f>
        <v xml:space="preserve"> - </v>
      </c>
      <c r="I9" s="473" t="str">
        <f>IF(ISNUMBER(((NºAsuntos!I9/NºAsuntos!G9)-Datos!BE9)/Datos!BE9),((NºAsuntos!I9/NºAsuntos!G9)-Datos!BE9)/Datos!BE9," - ")</f>
        <v xml:space="preserve"> - </v>
      </c>
      <c r="J9" s="478" t="str">
        <f>IF(ISNUMBER((('Resol  Asuntos'!D9/NºAsuntos!G9)-Datos!BF9)/Datos!BF9),(('Resol  Asuntos'!D9/NºAsuntos!G9)-Datos!BF9)/Datos!BF9," - ")</f>
        <v xml:space="preserve"> - </v>
      </c>
      <c r="K9" s="479" t="str">
        <f>IF(ISNUMBER((((NºAsuntos!C9+NºAsuntos!E9)/NºAsuntos!G9)-Datos!BG9)/Datos!BG9),(((NºAsuntos!C9+NºAsuntos!E9)/NºAsuntos!G9)-Datos!BG9)/Datos!BG9," - ")</f>
        <v xml:space="preserve"> - </v>
      </c>
    </row>
    <row r="10" spans="1:11">
      <c r="A10" s="414" t="str">
        <f>Datos!A10</f>
        <v>Jdos. Violencia contra la mujer</v>
      </c>
      <c r="B10" s="472">
        <f>IF(ISNUMBER((Datos!I10-Datos!S10)/Datos!S10),(Datos!I10-Datos!S10)/Datos!S10," - ")</f>
        <v>-0.8</v>
      </c>
      <c r="C10" s="473">
        <f>IF(ISNUMBER((Datos!J10-Datos!T10)/Datos!T10),(Datos!J10-Datos!T10)/Datos!T10," - ")</f>
        <v>0</v>
      </c>
      <c r="D10" s="473">
        <f>IF(ISNUMBER((Datos!K10-Datos!U10)/Datos!U10),(Datos!K10-Datos!U10)/Datos!U10," - ")</f>
        <v>-0.66666666666666663</v>
      </c>
      <c r="E10" s="473">
        <f>IF(ISNUMBER((Datos!L10-Datos!V10)/Datos!V10),(Datos!L10-Datos!V10)/Datos!V10," - ")</f>
        <v>-0.5</v>
      </c>
      <c r="F10" s="473">
        <f>IF(ISNUMBER((Datos!M10-Datos!W10)/Datos!W10),(Datos!M10-Datos!W10)/Datos!W10," - ")</f>
        <v>-0.66666666666666663</v>
      </c>
      <c r="G10" s="474" t="str">
        <f>IF(ISNUMBER((Datos!N10-Datos!X10)/Datos!X10),(Datos!N10-Datos!X10)/Datos!X10," - ")</f>
        <v xml:space="preserve"> - </v>
      </c>
      <c r="H10" s="472">
        <f>IF(ISNUMBER(((NºAsuntos!G10/NºAsuntos!E10)-Datos!BD10)/Datos!BD10),((NºAsuntos!G10/NºAsuntos!E10)-Datos!BD10)/Datos!BD10," - ")</f>
        <v>-0.66666666666666663</v>
      </c>
      <c r="I10" s="473">
        <f>IF(ISNUMBER(((NºAsuntos!I10/NºAsuntos!G10)-Datos!BE10)/Datos!BE10),((NºAsuntos!I10/NºAsuntos!G10)-Datos!BE10)/Datos!BE10," - ")</f>
        <v>0.50000000000000011</v>
      </c>
      <c r="J10" s="478">
        <f>IF(ISNUMBER((('Resol  Asuntos'!D10/NºAsuntos!G10)-Datos!BF10)/Datos!BF10),(('Resol  Asuntos'!D10/NºAsuntos!G10)-Datos!BF10)/Datos!BF10," - ")</f>
        <v>0</v>
      </c>
      <c r="K10" s="479">
        <f>IF(ISNUMBER((((NºAsuntos!C10+NºAsuntos!E10)/NºAsuntos!G10)-Datos!BG10)/Datos!BG10),(((NºAsuntos!C10+NºAsuntos!E10)/NºAsuntos!G10)-Datos!BG10)/Datos!BG10," - ")</f>
        <v>0.28571428571428564</v>
      </c>
    </row>
    <row r="11" spans="1:11">
      <c r="A11" s="414" t="str">
        <f>Datos!A11</f>
        <v xml:space="preserve">Jdos. Familia                                   </v>
      </c>
      <c r="B11" s="472" t="str">
        <f>IF(ISNUMBER(
   IF(J_V="SI",(Datos!I11-Datos!S11)/Datos!S11,(Datos!I11+Datos!Y11-(Datos!S11+Datos!AG11))/(Datos!S11+Datos!AG11))
     ),IF(J_V="SI",(Datos!I11-Datos!S11)/Datos!S11,(Datos!I11+Datos!Y11-(Datos!S11+Datos!AG11))/(Datos!S11+Datos!AG11))," - ")</f>
        <v xml:space="preserve"> - </v>
      </c>
      <c r="C11" s="473" t="str">
        <f>IF(ISNUMBER(
   IF(J_V="SI",(Datos!J11-Datos!T11)/Datos!T11,(Datos!J11+Datos!Z11-(Datos!T11+Datos!AH11))/(Datos!T11+Datos!AH11))
     ),IF(J_V="SI",(Datos!J11-Datos!T11)/Datos!T11,(Datos!J11+Datos!Z11-(Datos!T11+Datos!AH11))/(Datos!T11+Datos!AH11))," - ")</f>
        <v xml:space="preserve"> - </v>
      </c>
      <c r="D11" s="473" t="str">
        <f>IF(ISNUMBER(
   IF(J_V="SI",(Datos!K11-Datos!U11)/Datos!U11,(Datos!K11+Datos!AA11-(Datos!U11+Datos!AI11))/(Datos!U11+Datos!AI11))
     ),IF(J_V="SI",(Datos!K11-Datos!U11)/Datos!U11,(Datos!K11+Datos!AA11-(Datos!U11+Datos!AI11))/(Datos!U11+Datos!AI11))," - ")</f>
        <v xml:space="preserve"> - </v>
      </c>
      <c r="E11" s="473" t="str">
        <f>IF(ISNUMBER(
   IF(J_V="SI",(Datos!L11-Datos!V11)/Datos!V11,(Datos!L11+Datos!AB11-(Datos!V11+Datos!AJ11))/(Datos!V11+Datos!AJ11))
     ),IF(J_V="SI",(Datos!L11-Datos!V11)/Datos!V11,(Datos!L11+Datos!AB11-(Datos!V11+Datos!AJ11))/(Datos!V11+Datos!AJ11))," - ")</f>
        <v xml:space="preserve"> - </v>
      </c>
      <c r="F11" s="473" t="str">
        <f>IF(ISNUMBER((Datos!M11-Datos!W11)/Datos!W11),(Datos!M11-Datos!W11)/Datos!W11," - ")</f>
        <v xml:space="preserve"> - </v>
      </c>
      <c r="G11" s="474" t="str">
        <f>IF(ISNUMBER((Datos!N11-Datos!X11)/Datos!X11),(Datos!N11-Datos!X11)/Datos!X11," - ")</f>
        <v xml:space="preserve"> - </v>
      </c>
      <c r="H11" s="472" t="str">
        <f>IF(ISNUMBER(((NºAsuntos!G11/NºAsuntos!E11)-Datos!BD11)/Datos!BD11),((NºAsuntos!G11/NºAsuntos!E11)-Datos!BD11)/Datos!BD11," - ")</f>
        <v xml:space="preserve"> - </v>
      </c>
      <c r="I11" s="473" t="str">
        <f>IF(ISNUMBER(((NºAsuntos!I11/NºAsuntos!G11)-Datos!BE11)/Datos!BE11),((NºAsuntos!I11/NºAsuntos!G11)-Datos!BE11)/Datos!BE11," - ")</f>
        <v xml:space="preserve"> - </v>
      </c>
      <c r="J11" s="478" t="str">
        <f>IF(ISNUMBER((('Resol  Asuntos'!D11/NºAsuntos!G11)-Datos!BF11)/Datos!BF11),(('Resol  Asuntos'!D11/NºAsuntos!G11)-Datos!BF11)/Datos!BF11," - ")</f>
        <v xml:space="preserve"> - </v>
      </c>
      <c r="K11" s="479" t="str">
        <f>IF(ISNUMBER((((NºAsuntos!C11+NºAsuntos!E11)/NºAsuntos!G11)-Datos!BG11)/Datos!BG11),(((NºAsuntos!C11+NºAsuntos!E11)/NºAsuntos!G11)-Datos!BG11)/Datos!BG11," - ")</f>
        <v xml:space="preserve"> - </v>
      </c>
    </row>
    <row r="12" spans="1:11">
      <c r="A12" s="414" t="str">
        <f>Datos!A12</f>
        <v xml:space="preserve">Jdos. 1ª Instª. e Instr.                        </v>
      </c>
      <c r="B12" s="472">
        <f>IF(ISNUMBER(
   IF(J_V="SI",(Datos!I12-Datos!S12)/Datos!S12,(Datos!I12+Datos!Y12-(Datos!S12+Datos!AG12))/(Datos!S12+Datos!AG12))
     ),IF(J_V="SI",(Datos!I12-Datos!S12)/Datos!S12,(Datos!I12+Datos!Y12-(Datos!S12+Datos!AG12))/(Datos!S12+Datos!AG12))," - ")</f>
        <v>0.32862644415917841</v>
      </c>
      <c r="C12" s="473">
        <f>IF(ISNUMBER(
   IF(J_V="SI",(Datos!J12-Datos!T12)/Datos!T12,(Datos!J12+Datos!Z12-(Datos!T12+Datos!AH12))/(Datos!T12+Datos!AH12))
     ),IF(J_V="SI",(Datos!J12-Datos!T12)/Datos!T12,(Datos!J12+Datos!Z12-(Datos!T12+Datos!AH12))/(Datos!T12+Datos!AH12))," - ")</f>
        <v>0.24125874125874125</v>
      </c>
      <c r="D12" s="473">
        <f>IF(ISNUMBER(
   IF(J_V="SI",(Datos!K12-Datos!U12)/Datos!U12,(Datos!K12+Datos!AA12-(Datos!U12+Datos!AI12))/(Datos!U12+Datos!AI12))
     ),IF(J_V="SI",(Datos!K12-Datos!U12)/Datos!U12,(Datos!K12+Datos!AA12-(Datos!U12+Datos!AI12))/(Datos!U12+Datos!AI12))," - ")</f>
        <v>0.15441176470588236</v>
      </c>
      <c r="E12" s="473">
        <f>IF(ISNUMBER(
   IF(J_V="SI",(Datos!L12-Datos!V12)/Datos!V12,(Datos!L12+Datos!AB12-(Datos!V12+Datos!AJ12))/(Datos!V12+Datos!AJ12))
     ),IF(J_V="SI",(Datos!L12-Datos!V12)/Datos!V12,(Datos!L12+Datos!AB12-(Datos!V12+Datos!AJ12))/(Datos!V12+Datos!AJ12))," - ")</f>
        <v>0.35687263556116017</v>
      </c>
      <c r="F12" s="473">
        <f>IF(ISNUMBER((Datos!M12-Datos!W12)/Datos!W12),(Datos!M12-Datos!W12)/Datos!W12," - ")</f>
        <v>-4.5977011494252873E-2</v>
      </c>
      <c r="G12" s="474">
        <f>IF(ISNUMBER((Datos!N12-Datos!X12)/Datos!X12),(Datos!N12-Datos!X12)/Datos!X12," - ")</f>
        <v>0.72727272727272729</v>
      </c>
      <c r="H12" s="472">
        <f>IF(ISNUMBER(((NºAsuntos!G12/NºAsuntos!E12)-Datos!BD12)/Datos!BD12),((NºAsuntos!G12/NºAsuntos!E12)-Datos!BD12)/Datos!BD12," - ")</f>
        <v>-6.9966859983429941E-2</v>
      </c>
      <c r="I12" s="473">
        <f>IF(ISNUMBER(((NºAsuntos!I12/NºAsuntos!G12)-Datos!BE12)/Datos!BE12),((NºAsuntos!I12/NºAsuntos!G12)-Datos!BE12)/Datos!BE12," - ")</f>
        <v>0.17538011742877568</v>
      </c>
      <c r="J12" s="478">
        <f>IF(ISNUMBER((('Resol  Asuntos'!D12/NºAsuntos!G12)-Datos!BF12)/Datos!BF12),(('Resol  Asuntos'!D12/NºAsuntos!G12)-Datos!BF12)/Datos!BF12," - ")</f>
        <v>8.9364987454159425E-2</v>
      </c>
      <c r="K12" s="479">
        <f>IF(ISNUMBER((((NºAsuntos!C12+NºAsuntos!E12)/NºAsuntos!G12)-Datos!BG12)/Datos!BG12),(((NºAsuntos!C12+NºAsuntos!E12)/NºAsuntos!G12)-Datos!BG12)/Datos!BG12," - ")</f>
        <v>0.13058820011363287</v>
      </c>
    </row>
    <row r="13" spans="1:11" ht="13.5" thickBot="1">
      <c r="A13" s="414" t="str">
        <f>Datos!A13</f>
        <v xml:space="preserve">Jdos. de Menores    </v>
      </c>
      <c r="B13" s="472" t="str">
        <f>IF(ISNUMBER((Datos!I13-Datos!S13)/Datos!S13),(Datos!I13-Datos!S13)/Datos!S13," - ")</f>
        <v xml:space="preserve"> - </v>
      </c>
      <c r="C13" s="473" t="str">
        <f>IF(ISNUMBER((Datos!J13-Datos!T13)/Datos!T13),(Datos!J13-Datos!T13)/Datos!T13," - ")</f>
        <v xml:space="preserve"> - </v>
      </c>
      <c r="D13" s="473" t="str">
        <f>IF(ISNUMBER((Datos!K13-Datos!U13)/Datos!U13),(Datos!K13-Datos!U13)/Datos!U13," - ")</f>
        <v xml:space="preserve"> - </v>
      </c>
      <c r="E13" s="473" t="str">
        <f>IF(ISNUMBER((Datos!L13-Datos!V13)/Datos!V13),(Datos!L13-Datos!V13)/Datos!V13," - ")</f>
        <v xml:space="preserve"> - </v>
      </c>
      <c r="F13" s="473" t="str">
        <f>IF(ISNUMBER((Datos!M13-Datos!W13)/Datos!W13),(Datos!M13-Datos!W13)/Datos!W13," - ")</f>
        <v xml:space="preserve"> - </v>
      </c>
      <c r="G13" s="474" t="str">
        <f>IF(ISNUMBER((Datos!N13-Datos!X13)/Datos!X13),(Datos!N13-Datos!X13)/Datos!X13," - ")</f>
        <v xml:space="preserve"> - </v>
      </c>
      <c r="H13" s="472" t="str">
        <f>IF(ISNUMBER(((NºAsuntos!G13/NºAsuntos!E13)-Datos!BD13)/Datos!BD13),((NºAsuntos!G13/NºAsuntos!E13)-Datos!BD13)/Datos!BD13," - ")</f>
        <v xml:space="preserve"> - </v>
      </c>
      <c r="I13" s="473" t="str">
        <f>IF(ISNUMBER(((NºAsuntos!I13/NºAsuntos!G13)-Datos!BE13)/Datos!BE13),((NºAsuntos!I13/NºAsuntos!G13)-Datos!BE13)/Datos!BE13," - ")</f>
        <v xml:space="preserve"> - </v>
      </c>
      <c r="J13" s="478" t="str">
        <f>IF(ISNUMBER((('Resol  Asuntos'!D13/NºAsuntos!G13)-Datos!BF13)/Datos!BF13),(('Resol  Asuntos'!D13/NºAsuntos!G13)-Datos!BF13)/Datos!BF13," - ")</f>
        <v xml:space="preserve"> - </v>
      </c>
      <c r="K13" s="479" t="str">
        <f>IF(ISNUMBER((((NºAsuntos!C13+NºAsuntos!E13)/NºAsuntos!G13)-Datos!BG13)/Datos!BG13),(((NºAsuntos!C13+NºAsuntos!E13)/NºAsuntos!G13)-Datos!BG13)/Datos!BG13," - ")</f>
        <v xml:space="preserve"> - </v>
      </c>
    </row>
    <row r="14" spans="1:11" ht="14.25" thickTop="1" thickBot="1">
      <c r="A14" s="995" t="str">
        <f>Datos!A14</f>
        <v>TOTAL</v>
      </c>
      <c r="B14" s="1001">
        <f>IF(ISNUMBER(
   IF(J_V="SI",(Datos!I14-Datos!S14)/Datos!S14,(Datos!I14+Datos!Y14-(Datos!S14+Datos!AG14))/(Datos!S14+Datos!AG14))
     ),IF(J_V="SI",(Datos!I14-Datos!S14)/Datos!S14,(Datos!I14+Datos!Y14-(Datos!S14+Datos!AG14))/(Datos!S14+Datos!AG14))," - ")</f>
        <v>0.32142857142857145</v>
      </c>
      <c r="C14" s="1002">
        <f>IF(ISNUMBER(
   IF(J_V="SI",(Datos!J14-Datos!T14)/Datos!T14,(Datos!J14+Datos!Z14-(Datos!T14+Datos!AH14))/(Datos!T14+Datos!AH14))
     ),IF(J_V="SI",(Datos!J14-Datos!T14)/Datos!T14,(Datos!J14+Datos!Z14-(Datos!T14+Datos!AH14))/(Datos!T14+Datos!AH14))," - ")</f>
        <v>0.23958333333333334</v>
      </c>
      <c r="D14" s="1002">
        <f>IF(ISNUMBER(
   IF(J_V="SI",(Datos!K14-Datos!U14)/Datos!U14,(Datos!K14+Datos!AA14-(Datos!U14+Datos!AI14))/(Datos!U14+Datos!AI14))
     ),IF(J_V="SI",(Datos!K14-Datos!U14)/Datos!U14,(Datos!K14+Datos!AA14-(Datos!U14+Datos!AI14))/(Datos!U14+Datos!AI14))," - ")</f>
        <v>0.14545454545454545</v>
      </c>
      <c r="E14" s="1002">
        <f>IF(ISNUMBER(
   IF(J_V="SI",(Datos!L14-Datos!V14)/Datos!V14,(Datos!L14+Datos!AB14-(Datos!V14+Datos!AJ14))/(Datos!V14+Datos!AJ14))
     ),IF(J_V="SI",(Datos!L14-Datos!V14)/Datos!V14,(Datos!L14+Datos!AB14-(Datos!V14+Datos!AJ14))/(Datos!V14+Datos!AJ14))," - ")</f>
        <v>0.35257214554579674</v>
      </c>
      <c r="F14" s="1003">
        <f>IF(ISNUMBER((Datos!M14-Datos!W14)/Datos!W14),(Datos!M14-Datos!W14)/Datos!W14," - ")</f>
        <v>-6.6666666666666666E-2</v>
      </c>
      <c r="G14" s="1004">
        <f>IF(ISNUMBER((Datos!N14-Datos!X14)/Datos!X14),(Datos!N14-Datos!X14)/Datos!X14," - ")</f>
        <v>0.72727272727272729</v>
      </c>
      <c r="H14" s="1004">
        <f>IF(ISNUMBER(((NºAsuntos!G14/NºAsuntos!E14)-Datos!BD14)/Datos!BD14),((NºAsuntos!G14/NºAsuntos!E14)-Datos!BD14)/Datos!BD14," - ")</f>
        <v>-7.5935828877005423E-2</v>
      </c>
      <c r="I14" s="1004">
        <f>IF(ISNUMBER(((NºAsuntos!I14/NºAsuntos!G14)-Datos!BE14)/Datos!BE14),((NºAsuntos!I14/NºAsuntos!G14)-Datos!BE14)/Datos!BE14," - ")</f>
        <v>0.18081695246061621</v>
      </c>
      <c r="J14" s="1004">
        <f>IF(ISNUMBER((('Resol  Asuntos'!D14/NºAsuntos!G14)-Datos!BF14)/Datos!BF14),(('Resol  Asuntos'!D14/NºAsuntos!G14)-Datos!BF14)/Datos!BF14," - ")</f>
        <v>6.2801932367149718E-2</v>
      </c>
      <c r="K14" s="1004">
        <f>IF(ISNUMBER((((NºAsuntos!C14+NºAsuntos!E14)/NºAsuntos!G14)-Datos!BG14)/Datos!BG14),(((NºAsuntos!C14+NºAsuntos!E14)/NºAsuntos!G14)-Datos!BG14)/Datos!BG14," - ")</f>
        <v>0.1344320066334993</v>
      </c>
    </row>
    <row r="15" spans="1:11" ht="13.5" thickTop="1">
      <c r="A15" s="408" t="str">
        <f>Datos!A15</f>
        <v xml:space="preserve">Jurisdicción Penal ( 2 ):                      </v>
      </c>
      <c r="B15" s="475"/>
      <c r="C15" s="476"/>
      <c r="D15" s="476"/>
      <c r="E15" s="476"/>
      <c r="F15" s="476"/>
      <c r="G15" s="477"/>
      <c r="H15" s="472"/>
      <c r="I15" s="473"/>
      <c r="J15" s="478"/>
      <c r="K15" s="479"/>
    </row>
    <row r="16" spans="1:11">
      <c r="A16" s="414" t="str">
        <f>Datos!A16</f>
        <v xml:space="preserve">Jdos. Instrucción                               </v>
      </c>
      <c r="B16" s="472" t="str">
        <f>IF(ISNUMBER(
   IF(D_I="SI",(Datos!I16-Datos!S16)/Datos!S16,(Datos!I16+Datos!AC16-(Datos!S16+Datos!AK16))/(Datos!S16+Datos!AK16))
     ),IF(D_I="SI",(Datos!I16-Datos!S16)/Datos!S16,(Datos!I16+Datos!AC16-(Datos!S16+Datos!AK16))/(Datos!S16+Datos!AK16))," - ")</f>
        <v xml:space="preserve"> - </v>
      </c>
      <c r="C16" s="473" t="str">
        <f>IF(ISNUMBER(
   IF(D_I="SI",(Datos!J16-Datos!T16)/Datos!T16,(Datos!J16+Datos!AD16-(Datos!T16+Datos!AL16))/(Datos!T16+Datos!AL16))
     ),IF(D_I="SI",(Datos!J16-Datos!T16)/Datos!T16,(Datos!J16+Datos!AD16-(Datos!T16+Datos!AL16))/(Datos!T16+Datos!AL16))," - ")</f>
        <v xml:space="preserve"> - </v>
      </c>
      <c r="D16" s="473" t="str">
        <f>IF(ISNUMBER(
   IF(D_I="SI",(Datos!K16-Datos!U16)/Datos!U16,(Datos!K16+Datos!AE16-(Datos!U16+Datos!AM16))/(Datos!U16+Datos!AM16))
     ),IF(D_I="SI",(Datos!K16-Datos!U16)/Datos!U16,(Datos!K16+Datos!AE16-(Datos!U16+Datos!AM16))/(Datos!U16+Datos!AM16))," - ")</f>
        <v xml:space="preserve"> - </v>
      </c>
      <c r="E16" s="473" t="str">
        <f>IF(ISNUMBER(
   IF(D_I="SI",(Datos!L16-Datos!V16)/Datos!V16,(Datos!L16+Datos!AF16-(Datos!V16+Datos!AN16))/(Datos!V16+Datos!AN16))
     ),IF(D_I="SI",(Datos!L16-Datos!V16)/Datos!V16,(Datos!L16+Datos!AF16-(Datos!V16+Datos!AN16))/(Datos!V16+Datos!AN16))," - ")</f>
        <v xml:space="preserve"> - </v>
      </c>
      <c r="F16" s="473" t="str">
        <f>IF(ISNUMBER((Datos!M16-Datos!W16)/Datos!W16),(Datos!M16-Datos!W16)/Datos!W16," - ")</f>
        <v xml:space="preserve"> - </v>
      </c>
      <c r="G16" s="474" t="str">
        <f>IF(ISNUMBER((Datos!N16-Datos!X16)/Datos!X16),(Datos!N16-Datos!X16)/Datos!X16," - ")</f>
        <v xml:space="preserve"> - </v>
      </c>
      <c r="H16" s="472" t="str">
        <f>IF(ISNUMBER(((NºAsuntos!G16/NºAsuntos!E16)-Datos!BD16)/Datos!BD16),((NºAsuntos!G16/NºAsuntos!E16)-Datos!BD16)/Datos!BD16," - ")</f>
        <v xml:space="preserve"> - </v>
      </c>
      <c r="I16" s="473" t="str">
        <f>IF(ISNUMBER(((NºAsuntos!I16/NºAsuntos!G16)-Datos!BE16)/Datos!BE16),((NºAsuntos!I16/NºAsuntos!G16)-Datos!BE16)/Datos!BE16," - ")</f>
        <v xml:space="preserve"> - </v>
      </c>
      <c r="J16" s="478" t="str">
        <f>IF(ISNUMBER((('Resol  Asuntos'!D16/NºAsuntos!G16)-Datos!BF16)/Datos!BF16),(('Resol  Asuntos'!D16/NºAsuntos!G16)-Datos!BF16)/Datos!BF16," - ")</f>
        <v xml:space="preserve"> - </v>
      </c>
      <c r="K16" s="479" t="str">
        <f>IF(ISNUMBER((((NºAsuntos!C16+NºAsuntos!E16)/NºAsuntos!G16)-Datos!BG16)/Datos!BG16),(((NºAsuntos!C16+NºAsuntos!E16)/NºAsuntos!G16)-Datos!BG16)/Datos!BG16," - ")</f>
        <v xml:space="preserve"> - </v>
      </c>
    </row>
    <row r="17" spans="1:12">
      <c r="A17" s="414" t="str">
        <f>Datos!A17</f>
        <v xml:space="preserve">Jdos. 1ª Instª. e Instr.                        </v>
      </c>
      <c r="B17" s="472">
        <f>IF(ISNUMBER(
   IF(D_I="SI",(Datos!I17-Datos!S17)/Datos!S17,(Datos!I17+Datos!AC17-(Datos!S17+Datos!AK17))/(Datos!S17+Datos!AK17))
     ),IF(D_I="SI",(Datos!I17-Datos!S17)/Datos!S17,(Datos!I17+Datos!AC17-(Datos!S17+Datos!AK17))/(Datos!S17+Datos!AK17))," - ")</f>
        <v>3.7037037037037035E-2</v>
      </c>
      <c r="C17" s="473">
        <f>IF(ISNUMBER(
   IF(D_I="SI",(Datos!J17-Datos!T17)/Datos!T17,(Datos!J17+Datos!AD17-(Datos!T17+Datos!AL17))/(Datos!T17+Datos!AL17))
     ),IF(D_I="SI",(Datos!J17-Datos!T17)/Datos!T17,(Datos!J17+Datos!AD17-(Datos!T17+Datos!AL17))/(Datos!T17+Datos!AL17))," - ")</f>
        <v>0.13090909090909092</v>
      </c>
      <c r="D17" s="473">
        <f>IF(ISNUMBER(
   IF(D_I="SI",(Datos!K17-Datos!U17)/Datos!U17,(Datos!K17+Datos!AE17-(Datos!U17+Datos!AM17))/(Datos!U17+Datos!AM17))
     ),IF(D_I="SI",(Datos!K17-Datos!U17)/Datos!U17,(Datos!K17+Datos!AE17-(Datos!U17+Datos!AM17))/(Datos!U17+Datos!AM17))," - ")</f>
        <v>7.6376554174067496E-2</v>
      </c>
      <c r="E17" s="473">
        <f>IF(ISNUMBER(
   IF(D_I="SI",(Datos!L17-Datos!V17)/Datos!V17,(Datos!L17+Datos!AF17-(Datos!V17+Datos!AN17))/(Datos!V17+Datos!AN17))
     ),IF(D_I="SI",(Datos!L17-Datos!V17)/Datos!V17,(Datos!L17+Datos!AF17-(Datos!V17+Datos!AN17))/(Datos!V17+Datos!AN17))," - ")</f>
        <v>0.23152709359605911</v>
      </c>
      <c r="F17" s="473">
        <f>IF(ISNUMBER((Datos!M17-Datos!W17)/Datos!W17),(Datos!M17-Datos!W17)/Datos!W17," - ")</f>
        <v>0.19444444444444445</v>
      </c>
      <c r="G17" s="474">
        <f>IF(ISNUMBER((Datos!N17-Datos!X17)/Datos!X17),(Datos!N17-Datos!X17)/Datos!X17," - ")</f>
        <v>0.10512820512820513</v>
      </c>
      <c r="H17" s="472">
        <f>IF(ISNUMBER(((NºAsuntos!G17/NºAsuntos!E17)-Datos!BD17)/Datos!BD17),((NºAsuntos!G17/NºAsuntos!E17)-Datos!BD17)/Datos!BD17," - ")</f>
        <v>-4.8220088752834213E-2</v>
      </c>
      <c r="I17" s="473">
        <f>IF(ISNUMBER(((NºAsuntos!I17/NºAsuntos!G17)-Datos!BE17)/Datos!BE17),((NºAsuntos!I17/NºAsuntos!G17)-Datos!BE17)/Datos!BE17," - ")</f>
        <v>0.14414150774683376</v>
      </c>
      <c r="J17" s="478">
        <f>IF(ISNUMBER((('Resol  Asuntos'!D17/NºAsuntos!G17)-Datos!BF17)/Datos!BF17),(('Resol  Asuntos'!D17/NºAsuntos!G17)-Datos!BF17)/Datos!BF17," - ")</f>
        <v>0.10969013568023468</v>
      </c>
      <c r="K17" s="479">
        <f>IF(ISNUMBER((((NºAsuntos!C17+NºAsuntos!E17)/NºAsuntos!G17)-Datos!BG17)/Datos!BG17),(((NºAsuntos!C17+NºAsuntos!E17)/NºAsuntos!G17)-Datos!BG17)/Datos!BG17," - ")</f>
        <v>2.6070883850787176E-2</v>
      </c>
    </row>
    <row r="18" spans="1:12">
      <c r="A18" s="414" t="str">
        <f>Datos!A18</f>
        <v>Jdos. Violencia contra la mujer</v>
      </c>
      <c r="B18" s="472">
        <f>IF(ISNUMBER(
   IF(D_I="SI",(Datos!I18-Datos!S18)/Datos!S18,(Datos!I18+Datos!AC18-(Datos!S18+Datos!AK18))/(Datos!S18+Datos!AK18))
     ),IF(D_I="SI",(Datos!I18-Datos!S18)/Datos!S18,(Datos!I18+Datos!AC18-(Datos!S18+Datos!AK18))/(Datos!S18+Datos!AK18))," - ")</f>
        <v>-6.6666666666666666E-2</v>
      </c>
      <c r="C18" s="473">
        <f>IF(ISNUMBER(
   IF(D_I="SI",(Datos!J18-Datos!T18)/Datos!T18,(Datos!J18+Datos!AD18-(Datos!T18+Datos!AL18))/(Datos!T18+Datos!AL18))
     ),IF(D_I="SI",(Datos!J18-Datos!T18)/Datos!T18,(Datos!J18+Datos!AD18-(Datos!T18+Datos!AL18))/(Datos!T18+Datos!AL18))," - ")</f>
        <v>0.5</v>
      </c>
      <c r="D18" s="473">
        <f>IF(ISNUMBER(
   IF(D_I="SI",(Datos!K18-Datos!U18)/Datos!U18,(Datos!K18+Datos!AE18-(Datos!U18+Datos!AM18))/(Datos!U18+Datos!AM18))
     ),IF(D_I="SI",(Datos!K18-Datos!U18)/Datos!U18,(Datos!K18+Datos!AE18-(Datos!U18+Datos!AM18))/(Datos!U18+Datos!AM18))," - ")</f>
        <v>-0.13636363636363635</v>
      </c>
      <c r="E18" s="473">
        <f>IF(ISNUMBER(
   IF(D_I="SI",(Datos!L18-Datos!V18)/Datos!V18,(Datos!L18+Datos!AF18-(Datos!V18+Datos!AN18))/(Datos!V18+Datos!AN18))
     ),IF(D_I="SI",(Datos!L18-Datos!V18)/Datos!V18,(Datos!L18+Datos!AF18-(Datos!V18+Datos!AN18))/(Datos!V18+Datos!AN18))," - ")</f>
        <v>1.1111111111111112</v>
      </c>
      <c r="F18" s="473">
        <f>IF(ISNUMBER((Datos!M18-Datos!W18)/Datos!W18),(Datos!M18-Datos!W18)/Datos!W18," - ")</f>
        <v>0.66666666666666663</v>
      </c>
      <c r="G18" s="474">
        <f>IF(ISNUMBER((Datos!N18-Datos!X18)/Datos!X18),(Datos!N18-Datos!X18)/Datos!X18," - ")</f>
        <v>-0.26315789473684209</v>
      </c>
      <c r="H18" s="472">
        <f>IF(ISNUMBER(((NºAsuntos!G18/NºAsuntos!E18)-Datos!BD18)/Datos!BD18),((NºAsuntos!G18/NºAsuntos!E18)-Datos!BD18)/Datos!BD18," - ")</f>
        <v>-0.42424242424242425</v>
      </c>
      <c r="I18" s="473">
        <f>IF(ISNUMBER(((NºAsuntos!I18/NºAsuntos!G18)-Datos!BE18)/Datos!BE18),((NºAsuntos!I18/NºAsuntos!G18)-Datos!BE18)/Datos!BE18," - ")</f>
        <v>1.4444444444444442</v>
      </c>
      <c r="J18" s="478">
        <f>IF(ISNUMBER((('Resol  Asuntos'!D18/NºAsuntos!G18)-Datos!BF18)/Datos!BF18),(('Resol  Asuntos'!D18/NºAsuntos!G18)-Datos!BF18)/Datos!BF18," - ")</f>
        <v>0.92982456140350878</v>
      </c>
      <c r="K18" s="479">
        <f>IF(ISNUMBER((((NºAsuntos!C18+NºAsuntos!E18)/NºAsuntos!G18)-Datos!BG18)/Datos!BG18),(((NºAsuntos!C18+NºAsuntos!E18)/NºAsuntos!G18)-Datos!BG18)/Datos!BG18," - ")</f>
        <v>0.41935483870967732</v>
      </c>
    </row>
    <row r="19" spans="1:12" ht="13.5" thickBot="1">
      <c r="A19" s="414" t="str">
        <f>Datos!A19</f>
        <v xml:space="preserve">Jdos. de Menores                                </v>
      </c>
      <c r="B19" s="472" t="str">
        <f>IF(ISNUMBER((Datos!I19-Datos!S19)/Datos!S19),(Datos!I19-Datos!S19)/Datos!S19," - ")</f>
        <v xml:space="preserve"> - </v>
      </c>
      <c r="C19" s="473" t="str">
        <f>IF(ISNUMBER((Datos!J19-Datos!T19)/Datos!T19),(Datos!J19-Datos!T19)/Datos!T19," - ")</f>
        <v xml:space="preserve"> - </v>
      </c>
      <c r="D19" s="473" t="str">
        <f>IF(ISNUMBER((Datos!K19-Datos!U19)/Datos!U19),(Datos!K19-Datos!U19)/Datos!U19," - ")</f>
        <v xml:space="preserve"> - </v>
      </c>
      <c r="E19" s="473" t="str">
        <f>IF(ISNUMBER((Datos!L19-Datos!V19)/Datos!V19),(Datos!L19-Datos!V19)/Datos!V19," - ")</f>
        <v xml:space="preserve"> - </v>
      </c>
      <c r="F19" s="473" t="str">
        <f>IF(ISNUMBER((Datos!M19-Datos!W19)/Datos!W19),(Datos!M19-Datos!W19)/Datos!W19," - ")</f>
        <v xml:space="preserve"> - </v>
      </c>
      <c r="G19" s="474" t="str">
        <f>IF(ISNUMBER((Datos!N19-Datos!X19)/Datos!X19),(Datos!N19-Datos!X19)/Datos!X19," - ")</f>
        <v xml:space="preserve"> - </v>
      </c>
      <c r="H19" s="472" t="str">
        <f>IF(ISNUMBER(((NºAsuntos!G19/NºAsuntos!E19)-Datos!BD19)/Datos!BD19),((NºAsuntos!G19/NºAsuntos!E19)-Datos!BD19)/Datos!BD19," - ")</f>
        <v xml:space="preserve"> - </v>
      </c>
      <c r="I19" s="473" t="str">
        <f>IF(ISNUMBER(((NºAsuntos!I19/NºAsuntos!G19)-Datos!BE19)/Datos!BE19),((NºAsuntos!I19/NºAsuntos!G19)-Datos!BE19)/Datos!BE19," - ")</f>
        <v xml:space="preserve"> - </v>
      </c>
      <c r="J19" s="478" t="str">
        <f>IF(ISNUMBER((('Resol  Asuntos'!D19/NºAsuntos!G19)-Datos!BF19)/Datos!BF19),(('Resol  Asuntos'!D19/NºAsuntos!G19)-Datos!BF19)/Datos!BF19," - ")</f>
        <v xml:space="preserve"> - </v>
      </c>
      <c r="K19" s="479" t="str">
        <f>IF(ISNUMBER((((NºAsuntos!C19+NºAsuntos!E19)/NºAsuntos!G19)-Datos!BG19)/Datos!BG19),(((NºAsuntos!C19+NºAsuntos!E19)/NºAsuntos!G19)-Datos!BG19)/Datos!BG19," - ")</f>
        <v xml:space="preserve"> - </v>
      </c>
    </row>
    <row r="20" spans="1:12" ht="14.25" thickTop="1" thickBot="1">
      <c r="A20" s="995" t="str">
        <f>Datos!A20</f>
        <v>TOTAL</v>
      </c>
      <c r="B20" s="1001">
        <f>IF(ISNUMBER(
   IF(Criterios!B14="SI",(Datos!I20-Datos!S20)/Datos!S20,(Datos!I20+Datos!AC20-(Datos!S20+Datos!AK20))/(Datos!S20+Datos!AK20))
     ),IF(Criterios!B14="SI",(Datos!I20-Datos!S20)/Datos!S20,(Datos!I20+Datos!AC20-(Datos!S20+Datos!AK20))/(Datos!S20+Datos!AK20))," - ")</f>
        <v>3.0303030303030304E-2</v>
      </c>
      <c r="C20" s="1002">
        <f>IF(ISNUMBER(
   IF(Criterios!B14="SI",(Datos!J20-Datos!T20)/Datos!T20,(Datos!J20+Datos!AD20-(Datos!T20+Datos!AL20))/(Datos!T20+Datos!AL20))
     ),IF(Criterios!B14="SI",(Datos!J20-Datos!T20)/Datos!T20,(Datos!J20+Datos!AD20-(Datos!T20+Datos!AL20))/(Datos!T20+Datos!AL20))," - ")</f>
        <v>0.14134275618374559</v>
      </c>
      <c r="D20" s="1002">
        <f>IF(ISNUMBER(
   IF(Criterios!B14="SI",(Datos!K20-Datos!U20)/Datos!U20,(Datos!K20+Datos!AE20-(Datos!U20+Datos!AM20))/(Datos!U20+Datos!AM20))
     ),IF(Criterios!B14="SI",(Datos!K20-Datos!U20)/Datos!U20,(Datos!K20+Datos!AE20-(Datos!U20+Datos!AM20))/(Datos!U20+Datos!AM20))," - ")</f>
        <v>6.8376068376068383E-2</v>
      </c>
      <c r="E20" s="1002">
        <f>IF(ISNUMBER(
   IF(Criterios!B14="SI",(Datos!L20-Datos!V20)/Datos!V20,(Datos!L20+Datos!AF20-(Datos!V20+Datos!AN20))/(Datos!V20+Datos!AN20))
     ),IF(Criterios!B14="SI",(Datos!L20-Datos!V20)/Datos!V20,(Datos!L20+Datos!AF20-(Datos!V20+Datos!AN20))/(Datos!V20+Datos!AN20))," - ")</f>
        <v>0.26886792452830188</v>
      </c>
      <c r="F20" s="1003">
        <f>IF(ISNUMBER((Datos!M20-Datos!W20)/Datos!W20),(Datos!M20-Datos!W20)/Datos!W20," - ")</f>
        <v>0.21333333333333335</v>
      </c>
      <c r="G20" s="1004">
        <f>IF(ISNUMBER((Datos!N20-Datos!X20)/Datos!X20),(Datos!N20-Datos!X20)/Datos!X20," - ")</f>
        <v>8.8019559902200492E-2</v>
      </c>
      <c r="H20" s="1004">
        <f>IF(ISNUMBER(((NºAsuntos!G20/NºAsuntos!E20)-Datos!BD20)/Datos!BD20),((NºAsuntos!G20/NºAsuntos!E20)-Datos!BD20)/Datos!BD20," - ")</f>
        <v>-6.393056547855315E-2</v>
      </c>
      <c r="I20" s="1004">
        <f>IF(ISNUMBER(((NºAsuntos!I20/NºAsuntos!G20)-Datos!BE20)/Datos!BE20),((NºAsuntos!I20/NºAsuntos!G20)-Datos!BE20)/Datos!BE20," - ")</f>
        <v>0.18766037735849062</v>
      </c>
      <c r="J20" s="1004">
        <f>IF(ISNUMBER((('Resol  Asuntos'!D20/NºAsuntos!G20)-Datos!BF20)/Datos!BF20),(('Resol  Asuntos'!D20/NºAsuntos!G20)-Datos!BF20)/Datos!BF20," - ")</f>
        <v>0.13568000000000016</v>
      </c>
      <c r="K20" s="1004">
        <f>IF(ISNUMBER((((NºAsuntos!C20+NºAsuntos!E20)/NºAsuntos!G20)-Datos!BG20)/Datos!BG20),(((NºAsuntos!C20+NºAsuntos!E20)/NºAsuntos!G20)-Datos!BG20)/Datos!BG20," - ")</f>
        <v>3.817314930991221E-2</v>
      </c>
    </row>
    <row r="21" spans="1:12" ht="15.75" customHeight="1" thickTop="1" thickBot="1">
      <c r="A21" s="940" t="str">
        <f>Datos!A21</f>
        <v>TOTAL JURISDICCIONES</v>
      </c>
      <c r="B21" s="948">
        <f>IF(ISNUMBER(
   IF(J_V="SI",(Datos!I21-Datos!S21)/Datos!S21,(Datos!I21+Datos!Y21-(Datos!S21+Datos!AG21))/(Datos!S21+Datos!AG21))
     ),IF(J_V="SI",(Datos!I21-Datos!S21)/Datos!S21,(Datos!I21+Datos!Y21-(Datos!S21+Datos!AG21))/(Datos!S21+Datos!AG21))," - ")</f>
        <v>0.25517241379310346</v>
      </c>
      <c r="C21" s="949">
        <f>IF(ISNUMBER(
   IF(J_V="SI",(Datos!J21-Datos!T21)/Datos!T21,(Datos!J21+Datos!Z21-(Datos!T21+Datos!AH21))/(Datos!T21+Datos!AH21))
     ),IF(J_V="SI",(Datos!J21-Datos!T21)/Datos!T21,(Datos!J21+Datos!Z21-(Datos!T21+Datos!AH21))/(Datos!T21+Datos!AH21))," - ")</f>
        <v>0.17447306791569087</v>
      </c>
      <c r="D21" s="949">
        <f>IF(ISNUMBER(
   IF(J_V="SI",(Datos!K21-Datos!U21)/Datos!U21,(Datos!K21+Datos!AA21-(Datos!U21+Datos!AI21))/(Datos!U21+Datos!AI21))
     ),IF(J_V="SI",(Datos!K21-Datos!U21)/Datos!U21,(Datos!K21+Datos!AA21-(Datos!U21+Datos!AI21))/(Datos!U21+Datos!AI21))," - ")</f>
        <v>9.3023255813953487E-2</v>
      </c>
      <c r="E21" s="949">
        <f>IF(ISNUMBER(
   IF(J_V="SI",(Datos!L21-Datos!V21)/Datos!V21,(Datos!L21+Datos!AB21-(Datos!V21+Datos!AJ21))/(Datos!V21+Datos!AJ21))
     ),IF(J_V="SI",(Datos!L21-Datos!V21)/Datos!V21,(Datos!L21+Datos!AB21-(Datos!V21+Datos!AJ21))/(Datos!V21+Datos!AJ21))," - ")</f>
        <v>0.33498513379583744</v>
      </c>
      <c r="F21" s="950">
        <f>IF(ISNUMBER((Datos!M21-Datos!W21)/Datos!W21),(Datos!M21-Datos!W21)/Datos!W21," - ")</f>
        <v>6.0606060606060608E-2</v>
      </c>
      <c r="G21" s="951">
        <f>IF(ISNUMBER((Datos!N21-Datos!X21)/Datos!X21),(Datos!N21-Datos!X21)/Datos!X21," - ")</f>
        <v>0.17684210526315788</v>
      </c>
      <c r="H21" s="952">
        <f>IF(ISNUMBER((Tasas!B21-Datos!BD21)/Datos!BD21),(Tasas!B21-Datos!BD21)/Datos!BD21," - ")</f>
        <v>-6.9350089267082457E-2</v>
      </c>
      <c r="I21" s="953">
        <f>IF(ISNUMBER((Tasas!C21-Datos!BE21)/Datos!BE21),(Tasas!C21-Datos!BE21)/Datos!BE21," - ")</f>
        <v>0.22136937772810661</v>
      </c>
      <c r="J21" s="954">
        <f>IF(ISNUMBER((Tasas!D21-Datos!BF21)/Datos!BF21),(Tasas!D21-Datos!BF21)/Datos!BF21," - ")</f>
        <v>0.11184988179669027</v>
      </c>
      <c r="K21" s="954">
        <f>IF(ISNUMBER((Tasas!E21-Datos!BG21)/Datos!BG21),(Tasas!E21-Datos!BG21)/Datos!BG21," - ")</f>
        <v>0.11461357194084898</v>
      </c>
    </row>
    <row r="22" spans="1:12">
      <c r="A22" s="423"/>
      <c r="B22" s="423"/>
      <c r="C22" s="423"/>
      <c r="D22" s="423"/>
      <c r="E22" s="423"/>
    </row>
    <row r="23" spans="1:12" ht="70.5" customHeight="1">
      <c r="A23" s="1389" t="s">
        <v>170</v>
      </c>
      <c r="B23" s="1389"/>
      <c r="C23" s="1389"/>
      <c r="D23" s="1389"/>
      <c r="E23" s="1389"/>
      <c r="F23" s="1389"/>
      <c r="G23" s="1389"/>
      <c r="H23" s="1389"/>
      <c r="I23" s="1389"/>
      <c r="J23" s="1389"/>
      <c r="K23" s="1389"/>
    </row>
    <row r="24" spans="1:12">
      <c r="A24" s="1388"/>
      <c r="B24" s="1388"/>
      <c r="C24" s="425"/>
      <c r="D24" s="425"/>
      <c r="E24" s="425"/>
    </row>
    <row r="25" spans="1:12">
      <c r="A25" s="403" t="str">
        <f>Criterios!A4</f>
        <v>Fecha Informe: 06 jun. 2023</v>
      </c>
    </row>
    <row r="28" spans="1:12" ht="12.75" customHeight="1">
      <c r="A28" s="471"/>
      <c r="B28" s="471"/>
      <c r="C28" s="471"/>
      <c r="D28" s="471"/>
      <c r="E28" s="471"/>
      <c r="F28" s="471"/>
      <c r="G28" s="471"/>
      <c r="H28" s="471"/>
      <c r="I28" s="471"/>
      <c r="J28" s="471"/>
      <c r="K28" s="471"/>
      <c r="L28" s="471"/>
    </row>
    <row r="29" spans="1:12" ht="12.75" customHeight="1">
      <c r="A29" s="471"/>
      <c r="B29" s="471"/>
      <c r="C29" s="471"/>
      <c r="D29" s="471"/>
      <c r="E29" s="471"/>
      <c r="F29" s="471"/>
      <c r="G29" s="471"/>
      <c r="H29" s="471"/>
      <c r="I29" s="471"/>
      <c r="J29" s="471"/>
      <c r="K29" s="471"/>
      <c r="L29" s="471"/>
    </row>
    <row r="30" spans="1:12" ht="12.75" customHeight="1">
      <c r="A30" s="471"/>
      <c r="B30" s="471"/>
      <c r="C30" s="471"/>
      <c r="D30" s="471"/>
      <c r="E30" s="471"/>
      <c r="F30" s="471"/>
      <c r="G30" s="471"/>
      <c r="H30" s="471"/>
      <c r="I30" s="471"/>
      <c r="J30" s="471"/>
      <c r="K30" s="471"/>
      <c r="L30" s="471"/>
    </row>
    <row r="31" spans="1:12" ht="12.75" customHeight="1">
      <c r="A31" s="471"/>
      <c r="B31" s="471"/>
      <c r="C31" s="471"/>
      <c r="D31" s="471"/>
      <c r="E31" s="471"/>
      <c r="F31" s="471"/>
      <c r="G31" s="471"/>
      <c r="H31" s="471"/>
      <c r="I31" s="471"/>
      <c r="J31" s="471"/>
      <c r="K31" s="471"/>
      <c r="L31" s="471"/>
    </row>
  </sheetData>
  <sheetProtection algorithmName="SHA-512" hashValue="ghedrEyt0G+RRxc9CgODzGsEB5dEIxPz362k3jgu0pGq/Vq6E5U1lJU9sX2jjakTsyag3NAILXzCFiCElKWTcA==" saltValue="BRufJ+0CTsx0v9d6L5Oexg==" spinCount="100000" sheet="1" objects="1" scenarios="1"/>
  <mergeCells count="13">
    <mergeCell ref="A24:B24"/>
    <mergeCell ref="A5:A6"/>
    <mergeCell ref="A23:K2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30"/>
  <sheetViews>
    <sheetView zoomScale="85" zoomScaleNormal="85" workbookViewId="0"/>
  </sheetViews>
  <sheetFormatPr baseColWidth="10" defaultColWidth="11.42578125" defaultRowHeight="12.75"/>
  <cols>
    <col min="1" max="1" width="32" style="399" customWidth="1"/>
    <col min="2" max="2" width="12.7109375" style="399" bestFit="1" customWidth="1"/>
    <col min="3" max="4" width="12.28515625" style="399" customWidth="1"/>
    <col min="5" max="5" width="12.7109375" style="399" bestFit="1" customWidth="1"/>
    <col min="6" max="6" width="11.42578125" style="399"/>
    <col min="7" max="7" width="77.85546875" style="399" customWidth="1"/>
    <col min="8" max="16384" width="11.42578125" style="399"/>
  </cols>
  <sheetData>
    <row r="1" spans="1:7" ht="105" customHeight="1"/>
    <row r="2" spans="1:7" ht="42.75" customHeight="1">
      <c r="B2" s="401" t="str">
        <f>Criterios!A9 &amp;"  "&amp;Criterios!B9</f>
        <v>Tribunales de Justicia  ANDALUCIA</v>
      </c>
    </row>
    <row r="3" spans="1:7" ht="19.5">
      <c r="A3" s="453" t="s">
        <v>12</v>
      </c>
      <c r="B3" s="403" t="str">
        <f>Criterios!A10 &amp;"  "&amp;Criterios!B10</f>
        <v>Provincias  CORDOBA</v>
      </c>
    </row>
    <row r="4" spans="1:7" ht="11.25" customHeight="1" thickBot="1">
      <c r="B4" s="403" t="str">
        <f>Criterios!A11 &amp;"  "&amp;Criterios!B11</f>
        <v>Resumenes por Partidos Judiciales  PUENTE GENIL</v>
      </c>
    </row>
    <row r="5" spans="1:7" ht="12.75" customHeight="1">
      <c r="A5" s="1369" t="str">
        <f>"Año:  " &amp;Criterios!B5 &amp; "    Trimestre   " &amp;Criterios!D5 &amp; " al " &amp;Criterios!D6</f>
        <v>Año:  2023    Trimestre   1 al 1</v>
      </c>
      <c r="B5" s="1363" t="s">
        <v>98</v>
      </c>
      <c r="C5" s="1363" t="s">
        <v>99</v>
      </c>
      <c r="D5" s="1363" t="s">
        <v>100</v>
      </c>
      <c r="E5" s="1363" t="s">
        <v>101</v>
      </c>
      <c r="G5" s="480"/>
    </row>
    <row r="6" spans="1:7" ht="12.75" customHeight="1">
      <c r="A6" s="1370"/>
      <c r="B6" s="1401"/>
      <c r="C6" s="1401"/>
      <c r="D6" s="1401"/>
      <c r="E6" s="1401"/>
      <c r="G6" s="480"/>
    </row>
    <row r="7" spans="1:7" ht="30.75" customHeight="1" thickBot="1">
      <c r="A7" s="454" t="str">
        <f>Datos!A7</f>
        <v>COMPETENCIAS</v>
      </c>
      <c r="B7" s="1402"/>
      <c r="C7" s="1402"/>
      <c r="D7" s="1402"/>
      <c r="E7" s="1402"/>
      <c r="G7" s="480"/>
    </row>
    <row r="8" spans="1:7">
      <c r="A8" s="408" t="str">
        <f>Datos!A8</f>
        <v>Jurisdicción Civil ( 1 ):</v>
      </c>
      <c r="B8" s="455"/>
      <c r="C8" s="456"/>
      <c r="D8" s="457"/>
      <c r="E8" s="458"/>
      <c r="G8" s="480"/>
    </row>
    <row r="9" spans="1:7" ht="14.25" customHeight="1">
      <c r="A9" s="414" t="str">
        <f>Datos!A9</f>
        <v xml:space="preserve">Jdos. 1ª Instancia   </v>
      </c>
      <c r="B9" s="459" t="str">
        <f>IF(ISNUMBER(NºAsuntos!G9/NºAsuntos!E9),NºAsuntos!G9/NºAsuntos!E9," - ")</f>
        <v xml:space="preserve"> - </v>
      </c>
      <c r="C9" s="460" t="str">
        <f>IF(ISNUMBER(NºAsuntos!I9/NºAsuntos!G9),NºAsuntos!I9/NºAsuntos!G9," - ")</f>
        <v xml:space="preserve"> - </v>
      </c>
      <c r="D9" s="461" t="str">
        <f>IF(ISNUMBER('Resol  Asuntos'!D9/NºAsuntos!G9),'Resol  Asuntos'!D9/NºAsuntos!G9," - ")</f>
        <v xml:space="preserve"> - </v>
      </c>
      <c r="E9" s="462" t="str">
        <f>IF(ISNUMBER((NºAsuntos!C9+NºAsuntos!E9)/NºAsuntos!G9),(NºAsuntos!C9+NºAsuntos!E9)/NºAsuntos!G9," - ")</f>
        <v xml:space="preserve"> - </v>
      </c>
      <c r="G9" s="480"/>
    </row>
    <row r="10" spans="1:7">
      <c r="A10" s="414" t="str">
        <f>Datos!A10</f>
        <v>Jdos. Violencia contra la mujer</v>
      </c>
      <c r="B10" s="459">
        <f>IF(ISNUMBER(NºAsuntos!G10/NºAsuntos!E10),NºAsuntos!G10/NºAsuntos!E10," - ")</f>
        <v>0.5</v>
      </c>
      <c r="C10" s="460">
        <f>IF(ISNUMBER(NºAsuntos!I10/NºAsuntos!G10),NºAsuntos!I10/NºAsuntos!G10," - ")</f>
        <v>2</v>
      </c>
      <c r="D10" s="461">
        <f>IF(ISNUMBER('Resol  Asuntos'!D10/NºAsuntos!G10),'Resol  Asuntos'!D10/NºAsuntos!G10," - ")</f>
        <v>1</v>
      </c>
      <c r="E10" s="462">
        <f>IF(ISNUMBER((NºAsuntos!C10+NºAsuntos!E10)/NºAsuntos!G10),(NºAsuntos!C10+NºAsuntos!E10)/NºAsuntos!G10," - ")</f>
        <v>3</v>
      </c>
      <c r="G10" s="480"/>
    </row>
    <row r="11" spans="1:7">
      <c r="A11" s="414" t="str">
        <f>Datos!A11</f>
        <v xml:space="preserve">Jdos. Familia                                   </v>
      </c>
      <c r="B11" s="459" t="str">
        <f>IF(ISNUMBER(NºAsuntos!G11/NºAsuntos!E11),NºAsuntos!G11/NºAsuntos!E11," - ")</f>
        <v xml:space="preserve"> - </v>
      </c>
      <c r="C11" s="460" t="str">
        <f>IF(ISNUMBER(NºAsuntos!I11/NºAsuntos!G11),NºAsuntos!I11/NºAsuntos!G11," - ")</f>
        <v xml:space="preserve"> - </v>
      </c>
      <c r="D11" s="461" t="str">
        <f>IF(ISNUMBER('Resol  Asuntos'!D11/NºAsuntos!G11),'Resol  Asuntos'!D11/NºAsuntos!G11," - ")</f>
        <v xml:space="preserve"> - </v>
      </c>
      <c r="E11" s="462" t="str">
        <f>IF(ISNUMBER((NºAsuntos!C11+NºAsuntos!E11)/NºAsuntos!G11),(NºAsuntos!C11+NºAsuntos!E11)/NºAsuntos!G11," - ")</f>
        <v xml:space="preserve"> - </v>
      </c>
      <c r="G11" s="480"/>
    </row>
    <row r="12" spans="1:7">
      <c r="A12" s="414" t="str">
        <f>Datos!A12</f>
        <v xml:space="preserve">Jdos. 1ª Instª. e Instr.                        </v>
      </c>
      <c r="B12" s="459">
        <f>IF(ISNUMBER(NºAsuntos!G12/NºAsuntos!E12),NºAsuntos!G12/NºAsuntos!E12," - ")</f>
        <v>0.88450704225352117</v>
      </c>
      <c r="C12" s="460">
        <f>IF(ISNUMBER(NºAsuntos!I12/NºAsuntos!G12),NºAsuntos!I12/NºAsuntos!G12," - ")</f>
        <v>3.426751592356688</v>
      </c>
      <c r="D12" s="461">
        <f>IF(ISNUMBER('Resol  Asuntos'!D12/NºAsuntos!G12),'Resol  Asuntos'!D12/NºAsuntos!G12," - ")</f>
        <v>0.2643312101910828</v>
      </c>
      <c r="E12" s="462">
        <f>IF(ISNUMBER((NºAsuntos!C12+NºAsuntos!E12)/NºAsuntos!G12),(NºAsuntos!C12+NºAsuntos!E12)/NºAsuntos!G12," - ")</f>
        <v>4.4267515923566876</v>
      </c>
      <c r="G12" s="480"/>
    </row>
    <row r="13" spans="1:7" ht="14.25" customHeight="1" thickBot="1">
      <c r="A13" s="414" t="str">
        <f>Datos!A13</f>
        <v xml:space="preserve">Jdos. de Menores    </v>
      </c>
      <c r="B13" s="459" t="str">
        <f>IF(ISNUMBER(NºAsuntos!G13/NºAsuntos!E13),NºAsuntos!G13/NºAsuntos!E13," - ")</f>
        <v xml:space="preserve"> - </v>
      </c>
      <c r="C13" s="460" t="str">
        <f>IF(ISNUMBER(NºAsuntos!I13/NºAsuntos!G13),NºAsuntos!I13/NºAsuntos!G13," - ")</f>
        <v xml:space="preserve"> - </v>
      </c>
      <c r="D13" s="461" t="str">
        <f>IF(ISNUMBER('Resol  Asuntos'!D13/NºAsuntos!G13),'Resol  Asuntos'!D13/NºAsuntos!G13," - ")</f>
        <v xml:space="preserve"> - </v>
      </c>
      <c r="E13" s="462" t="str">
        <f>IF(ISNUMBER((NºAsuntos!C13+NºAsuntos!E13)/NºAsuntos!G13),(NºAsuntos!C13+NºAsuntos!E13)/NºAsuntos!G13," - ")</f>
        <v xml:space="preserve"> - </v>
      </c>
      <c r="G13" s="480"/>
    </row>
    <row r="14" spans="1:7" ht="14.25" thickTop="1" thickBot="1">
      <c r="A14" s="995" t="str">
        <f>Datos!A14</f>
        <v>TOTAL</v>
      </c>
      <c r="B14" s="1005">
        <f>IF(ISNUMBER(NºAsuntos!G14/NºAsuntos!E14),NºAsuntos!G14/NºAsuntos!E14," - ")</f>
        <v>0.88235294117647056</v>
      </c>
      <c r="C14" s="1006">
        <f>IF(ISNUMBER(NºAsuntos!I14/NºAsuntos!G14),NºAsuntos!I14/NºAsuntos!G14," - ")</f>
        <v>3.4222222222222221</v>
      </c>
      <c r="D14" s="1007">
        <f>IF(ISNUMBER('Resol  Asuntos'!D14/NºAsuntos!G14),'Resol  Asuntos'!D14/NºAsuntos!G14," - ")</f>
        <v>0.26666666666666666</v>
      </c>
      <c r="E14" s="1008">
        <f>IF(ISNUMBER((NºAsuntos!C14+NºAsuntos!E14)/NºAsuntos!G14),(NºAsuntos!C14+NºAsuntos!E14)/NºAsuntos!G14," - ")</f>
        <v>4.4222222222222225</v>
      </c>
      <c r="G14" s="480"/>
    </row>
    <row r="15" spans="1:7" ht="13.5" thickTop="1">
      <c r="A15" s="408" t="str">
        <f>Datos!A15</f>
        <v xml:space="preserve">Jurisdicción Penal ( 2 ):                      </v>
      </c>
      <c r="B15" s="463"/>
      <c r="C15" s="464"/>
      <c r="D15" s="419"/>
      <c r="E15" s="465"/>
      <c r="G15" s="480"/>
    </row>
    <row r="16" spans="1:7">
      <c r="A16" s="414" t="str">
        <f>Datos!A16</f>
        <v xml:space="preserve">Jdos. Instrucción                               </v>
      </c>
      <c r="B16" s="459" t="str">
        <f>IF(ISNUMBER(NºAsuntos!G16/NºAsuntos!E16),NºAsuntos!G16/NºAsuntos!E16," - ")</f>
        <v xml:space="preserve"> - </v>
      </c>
      <c r="C16" s="460" t="str">
        <f>IF(ISNUMBER(NºAsuntos!I16/NºAsuntos!G16),NºAsuntos!I16/NºAsuntos!G16," - ")</f>
        <v xml:space="preserve"> - </v>
      </c>
      <c r="D16" s="461" t="str">
        <f>IF(ISNUMBER('Resol  Asuntos'!D16/NºAsuntos!G16),'Resol  Asuntos'!D16/NºAsuntos!G16," - ")</f>
        <v xml:space="preserve"> - </v>
      </c>
      <c r="E16" s="462" t="str">
        <f>IF(ISNUMBER((NºAsuntos!C16+NºAsuntos!E16)/NºAsuntos!G16),(NºAsuntos!C16+NºAsuntos!E16)/NºAsuntos!G16," - ")</f>
        <v xml:space="preserve"> - </v>
      </c>
      <c r="G16" s="480"/>
    </row>
    <row r="17" spans="1:7">
      <c r="A17" s="414" t="str">
        <f>Datos!A17</f>
        <v xml:space="preserve">Jdos. 1ª Instª. e Instr.                        </v>
      </c>
      <c r="B17" s="459">
        <f>IF(ISNUMBER(NºAsuntos!G17/NºAsuntos!E17),NºAsuntos!G17/NºAsuntos!E17," - ")</f>
        <v>0.97427652733118975</v>
      </c>
      <c r="C17" s="460">
        <f>IF(ISNUMBER(NºAsuntos!I17/NºAsuntos!G17),NºAsuntos!I17/NºAsuntos!G17," - ")</f>
        <v>0.41254125412541254</v>
      </c>
      <c r="D17" s="461">
        <f>IF(ISNUMBER('Resol  Asuntos'!D17/NºAsuntos!G17),'Resol  Asuntos'!D17/NºAsuntos!G17," - ")</f>
        <v>0.14191419141914191</v>
      </c>
      <c r="E17" s="462">
        <f>IF(ISNUMBER((NºAsuntos!C17+NºAsuntos!E17)/NºAsuntos!G17),(NºAsuntos!C17+NºAsuntos!E17)/NºAsuntos!G17," - ")</f>
        <v>1.3960396039603959</v>
      </c>
      <c r="G17" s="480"/>
    </row>
    <row r="18" spans="1:7">
      <c r="A18" s="414" t="str">
        <f>Datos!A18</f>
        <v>Jdos. Violencia contra la mujer</v>
      </c>
      <c r="B18" s="459">
        <f>IF(ISNUMBER(NºAsuntos!G18/NºAsuntos!E18),NºAsuntos!G18/NºAsuntos!E18," - ")</f>
        <v>0.79166666666666663</v>
      </c>
      <c r="C18" s="460">
        <f>IF(ISNUMBER(NºAsuntos!I18/NºAsuntos!G18),NºAsuntos!I18/NºAsuntos!G18," - ")</f>
        <v>1</v>
      </c>
      <c r="D18" s="461">
        <f>IF(ISNUMBER('Resol  Asuntos'!D18/NºAsuntos!G18),'Resol  Asuntos'!D18/NºAsuntos!G18," - ")</f>
        <v>0.26315789473684209</v>
      </c>
      <c r="E18" s="462">
        <f>IF(ISNUMBER((NºAsuntos!C18+NºAsuntos!E18)/NºAsuntos!G18),(NºAsuntos!C18+NºAsuntos!E18)/NºAsuntos!G18," - ")</f>
        <v>2</v>
      </c>
      <c r="G18" s="480"/>
    </row>
    <row r="19" spans="1:7" ht="13.5" thickBot="1">
      <c r="A19" s="414" t="str">
        <f>Datos!A19</f>
        <v xml:space="preserve">Jdos. de Menores                                </v>
      </c>
      <c r="B19" s="459" t="str">
        <f>IF(ISNUMBER(NºAsuntos!G19/NºAsuntos!E19),NºAsuntos!G19/NºAsuntos!E19," - ")</f>
        <v xml:space="preserve"> - </v>
      </c>
      <c r="C19" s="460" t="str">
        <f>IF(ISNUMBER(NºAsuntos!I19/NºAsuntos!G19),NºAsuntos!I19/NºAsuntos!G19," - ")</f>
        <v xml:space="preserve"> - </v>
      </c>
      <c r="D19" s="461" t="str">
        <f>IF(ISNUMBER('Resol  Asuntos'!D19/NºAsuntos!G19),'Resol  Asuntos'!D19/NºAsuntos!G19," - ")</f>
        <v xml:space="preserve"> - </v>
      </c>
      <c r="E19" s="462" t="str">
        <f>IF(ISNUMBER((NºAsuntos!C19+NºAsuntos!E19)/NºAsuntos!G19),(NºAsuntos!C19+NºAsuntos!E19)/NºAsuntos!G19," - ")</f>
        <v xml:space="preserve"> - </v>
      </c>
      <c r="G19" s="480"/>
    </row>
    <row r="20" spans="1:7" ht="14.25" thickTop="1" thickBot="1">
      <c r="A20" s="995" t="str">
        <f>Datos!A20</f>
        <v>TOTAL</v>
      </c>
      <c r="B20" s="1005">
        <f>IF(ISNUMBER(NºAsuntos!G20/NºAsuntos!E20),NºAsuntos!G20/NºAsuntos!E20," - ")</f>
        <v>0.96749226006191946</v>
      </c>
      <c r="C20" s="1006">
        <f>IF(ISNUMBER(NºAsuntos!I20/NºAsuntos!G20),NºAsuntos!I20/NºAsuntos!G20," - ")</f>
        <v>0.4304</v>
      </c>
      <c r="D20" s="1009">
        <f>IF(ISNUMBER('Resol  Asuntos'!D20/NºAsuntos!G20),'Resol  Asuntos'!D20/NºAsuntos!G20," - ")</f>
        <v>0.14560000000000001</v>
      </c>
      <c r="E20" s="1008">
        <f>IF(ISNUMBER((NºAsuntos!C20+NºAsuntos!E20)/NºAsuntos!G20),(NºAsuntos!C20+NºAsuntos!E20)/NºAsuntos!G20," - ")</f>
        <v>1.4144000000000001</v>
      </c>
      <c r="G20" s="480"/>
    </row>
    <row r="21" spans="1:7" ht="15.75" customHeight="1" thickTop="1" thickBot="1">
      <c r="A21" s="940" t="str">
        <f>Datos!A21</f>
        <v>TOTAL JURISDICCIONES</v>
      </c>
      <c r="B21" s="955">
        <f>IF(ISNUMBER(NºAsuntos!G21/NºAsuntos!E21),NºAsuntos!G21/NºAsuntos!E21," - ")</f>
        <v>0.93718843469591229</v>
      </c>
      <c r="C21" s="956">
        <f>IF(ISNUMBER(NºAsuntos!I21/NºAsuntos!G21),NºAsuntos!I21/NºAsuntos!G21," - ")</f>
        <v>1.4329787234042553</v>
      </c>
      <c r="D21" s="957">
        <f>IF(ISNUMBER('Resol  Asuntos'!D21/NºAsuntos!G21),'Resol  Asuntos'!D21/NºAsuntos!G21," - ")</f>
        <v>0.18617021276595744</v>
      </c>
      <c r="E21" s="958">
        <f>IF(ISNUMBER((NºAsuntos!C21+NºAsuntos!E21)/NºAsuntos!G21),(NºAsuntos!C21+NºAsuntos!E21)/NºAsuntos!G21," - ")</f>
        <v>2.4223404255319148</v>
      </c>
      <c r="G21" s="480"/>
    </row>
    <row r="22" spans="1:7">
      <c r="A22" s="423"/>
      <c r="B22" s="423"/>
      <c r="C22" s="423"/>
      <c r="G22" s="480"/>
    </row>
    <row r="23" spans="1:7">
      <c r="A23" s="425"/>
      <c r="B23" s="425"/>
      <c r="C23" s="425"/>
      <c r="G23" s="480"/>
    </row>
    <row r="24" spans="1:7">
      <c r="A24" s="1356"/>
      <c r="B24" s="1356"/>
      <c r="C24" s="1356"/>
      <c r="G24" s="480"/>
    </row>
    <row r="25" spans="1:7">
      <c r="A25" s="403" t="str">
        <f>Criterios!A4</f>
        <v>Fecha Informe: 06 jun. 2023</v>
      </c>
    </row>
    <row r="27" spans="1:7" ht="12" customHeight="1">
      <c r="A27" s="482"/>
      <c r="B27" s="482"/>
      <c r="C27" s="482"/>
      <c r="D27" s="482"/>
      <c r="E27" s="482"/>
    </row>
    <row r="28" spans="1:7" ht="13.5" customHeight="1">
      <c r="A28" s="482"/>
      <c r="B28" s="483"/>
      <c r="C28" s="483"/>
      <c r="D28" s="483"/>
      <c r="E28" s="483"/>
    </row>
    <row r="29" spans="1:7" ht="13.5" customHeight="1">
      <c r="A29" s="482"/>
      <c r="B29" s="483"/>
      <c r="C29" s="483"/>
      <c r="D29" s="483"/>
      <c r="E29" s="483"/>
    </row>
    <row r="30" spans="1:7" ht="13.5" customHeight="1">
      <c r="A30" s="482"/>
      <c r="B30" s="483"/>
      <c r="C30" s="483"/>
      <c r="D30" s="483"/>
      <c r="E30" s="483"/>
    </row>
  </sheetData>
  <sheetProtection algorithmName="SHA-512" hashValue="1bbUkIRdgQ1TbuteeMzRJZnvpQSVLODlsCV8aCaSgWWD2Ol5TuyqG/iEUF2jLVoThd5wVEqSimFq/lUIpwBjuw==" saltValue="gqyC+TKbMtXact1U1GZqMQ==" spinCount="100000" sheet="1" objects="1" scenarios="1"/>
  <mergeCells count="6">
    <mergeCell ref="D5:D7"/>
    <mergeCell ref="E5:E7"/>
    <mergeCell ref="A24:C2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34"/>
  <sheetViews>
    <sheetView topLeftCell="C1" zoomScale="85" zoomScaleNormal="85" workbookViewId="0">
      <selection activeCell="E68" sqref="E68"/>
    </sheetView>
  </sheetViews>
  <sheetFormatPr baseColWidth="10" defaultRowHeight="12.75"/>
  <cols>
    <col min="1" max="2" width="9.42578125" style="180"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9" hidden="1" customWidth="1"/>
    <col min="56" max="57" width="11.42578125" customWidth="1"/>
    <col min="58" max="65" width="11.42578125" hidden="1" customWidth="1"/>
    <col min="66" max="66" width="11.42578125" customWidth="1"/>
  </cols>
  <sheetData>
    <row r="2" spans="1:65" ht="16.5" customHeight="1">
      <c r="C2" s="270"/>
      <c r="D2" s="270"/>
      <c r="E2" s="267"/>
      <c r="F2" s="339" t="str">
        <f>Criterios!A9 &amp;"  "&amp;Criterios!B9</f>
        <v>Tribunales de Justicia  ANDALUCIA</v>
      </c>
      <c r="G2" s="340"/>
      <c r="H2" s="339"/>
      <c r="I2" s="339"/>
      <c r="J2" s="339"/>
      <c r="K2" s="339"/>
      <c r="L2" s="339" t="str">
        <f>Criterios!A10 &amp;"  "&amp;Criterios!B10</f>
        <v>Provincias  CORDOBA</v>
      </c>
      <c r="N2" s="339" t="str">
        <f>Criterios!A11 &amp;"  "&amp;Criterios!B11</f>
        <v>Resumenes por Partidos Judiciales  PUENTE GENIL</v>
      </c>
      <c r="O2" s="339"/>
      <c r="P2" s="339"/>
      <c r="Q2" s="267"/>
      <c r="R2" s="267"/>
    </row>
    <row r="3" spans="1:65" ht="16.5" customHeight="1">
      <c r="C3" s="272"/>
      <c r="D3" s="272"/>
      <c r="G3" s="268"/>
      <c r="H3" s="267"/>
    </row>
    <row r="4" spans="1:65" ht="16.5" customHeight="1" thickBot="1">
      <c r="C4" s="97"/>
      <c r="D4" s="97"/>
      <c r="E4" s="338"/>
      <c r="F4" s="338"/>
      <c r="G4" s="338"/>
      <c r="H4" s="338"/>
      <c r="I4" s="338"/>
      <c r="J4" s="338"/>
      <c r="K4" s="338"/>
      <c r="L4" s="338"/>
      <c r="M4" s="338"/>
      <c r="N4" s="267"/>
      <c r="O4" s="267"/>
      <c r="P4" s="267"/>
      <c r="Q4" s="267"/>
      <c r="R4" s="267"/>
    </row>
    <row r="5" spans="1:65" ht="15.75" customHeight="1">
      <c r="A5" s="1424" t="s">
        <v>391</v>
      </c>
      <c r="B5" s="277"/>
      <c r="C5" s="1427" t="str">
        <f>"Año:  " &amp;Criterios!B$5 &amp; "          Trimestre   " &amp;Criterios!D$5 &amp; " al " &amp;Criterios!D$6</f>
        <v>Año:  2023          Trimestre   1 al 1</v>
      </c>
      <c r="D5" s="1406" t="s">
        <v>417</v>
      </c>
      <c r="E5" s="1406" t="s">
        <v>352</v>
      </c>
      <c r="F5" s="1429" t="s">
        <v>448</v>
      </c>
      <c r="G5" s="1432" t="s">
        <v>141</v>
      </c>
      <c r="H5" s="1412" t="s">
        <v>182</v>
      </c>
      <c r="I5" s="1412" t="s">
        <v>186</v>
      </c>
      <c r="J5" s="1412" t="s">
        <v>187</v>
      </c>
      <c r="K5" s="1412" t="s">
        <v>449</v>
      </c>
      <c r="L5" s="1412" t="s">
        <v>648</v>
      </c>
      <c r="M5" s="1412" t="s">
        <v>356</v>
      </c>
      <c r="N5" s="1412" t="s">
        <v>418</v>
      </c>
      <c r="O5" s="1412" t="s">
        <v>451</v>
      </c>
      <c r="P5" s="1412" t="s">
        <v>185</v>
      </c>
      <c r="Q5" s="1412" t="s">
        <v>42</v>
      </c>
      <c r="R5" s="1438" t="s">
        <v>188</v>
      </c>
      <c r="S5" s="1441" t="s">
        <v>191</v>
      </c>
      <c r="T5" s="1459" t="s">
        <v>192</v>
      </c>
      <c r="U5" s="1456" t="s">
        <v>193</v>
      </c>
      <c r="V5" s="1450" t="s">
        <v>354</v>
      </c>
      <c r="W5" s="1415" t="s">
        <v>194</v>
      </c>
      <c r="X5" s="1418" t="s">
        <v>195</v>
      </c>
      <c r="Y5" s="1418" t="s">
        <v>196</v>
      </c>
      <c r="Z5" s="1453" t="s">
        <v>197</v>
      </c>
      <c r="AA5" s="1409" t="s">
        <v>198</v>
      </c>
      <c r="AB5" s="1412" t="s">
        <v>199</v>
      </c>
      <c r="AC5" s="1412" t="s">
        <v>200</v>
      </c>
      <c r="AD5" s="1421" t="s">
        <v>201</v>
      </c>
      <c r="AE5" s="1406" t="s">
        <v>204</v>
      </c>
      <c r="AF5" s="1444" t="s">
        <v>202</v>
      </c>
      <c r="AG5" s="1412" t="s">
        <v>203</v>
      </c>
      <c r="AH5" s="1438" t="s">
        <v>222</v>
      </c>
      <c r="AI5" s="1409" t="s">
        <v>205</v>
      </c>
      <c r="AJ5" s="1447" t="s">
        <v>274</v>
      </c>
      <c r="AK5" s="1435" t="s">
        <v>275</v>
      </c>
      <c r="AL5" s="1406" t="s">
        <v>276</v>
      </c>
      <c r="AM5" s="1406" t="s">
        <v>399</v>
      </c>
      <c r="AN5" s="1406" t="s">
        <v>277</v>
      </c>
      <c r="AO5" s="1406" t="s">
        <v>278</v>
      </c>
      <c r="AP5" s="1406" t="s">
        <v>331</v>
      </c>
      <c r="AQ5" s="1406" t="s">
        <v>206</v>
      </c>
      <c r="AR5" s="1406" t="s">
        <v>207</v>
      </c>
      <c r="AS5" s="1406" t="s">
        <v>429</v>
      </c>
      <c r="AT5" s="1406" t="s">
        <v>321</v>
      </c>
      <c r="AU5" s="1406" t="s">
        <v>322</v>
      </c>
      <c r="AV5" s="1406" t="s">
        <v>370</v>
      </c>
      <c r="AW5" s="1406" t="s">
        <v>915</v>
      </c>
      <c r="AX5" s="1406" t="s">
        <v>355</v>
      </c>
      <c r="AY5" s="1406" t="s">
        <v>821</v>
      </c>
      <c r="AZ5" s="1406" t="s">
        <v>822</v>
      </c>
      <c r="BF5" s="1464" t="s">
        <v>223</v>
      </c>
      <c r="BG5" s="1465"/>
      <c r="BH5" s="1464" t="s">
        <v>224</v>
      </c>
      <c r="BI5" s="1465"/>
      <c r="BJ5" s="1464" t="s">
        <v>225</v>
      </c>
      <c r="BK5" s="1465"/>
      <c r="BL5" s="1464" t="s">
        <v>226</v>
      </c>
      <c r="BM5" s="1465"/>
    </row>
    <row r="6" spans="1:65" ht="21.75" customHeight="1">
      <c r="A6" s="1425"/>
      <c r="B6" s="278"/>
      <c r="C6" s="1428"/>
      <c r="D6" s="1407"/>
      <c r="E6" s="1407"/>
      <c r="F6" s="1430"/>
      <c r="G6" s="1433"/>
      <c r="H6" s="1413"/>
      <c r="I6" s="1413"/>
      <c r="J6" s="1413"/>
      <c r="K6" s="1413"/>
      <c r="L6" s="1413"/>
      <c r="M6" s="1413"/>
      <c r="N6" s="1413"/>
      <c r="O6" s="1413"/>
      <c r="P6" s="1413"/>
      <c r="Q6" s="1413"/>
      <c r="R6" s="1439"/>
      <c r="S6" s="1442"/>
      <c r="T6" s="1460"/>
      <c r="U6" s="1457"/>
      <c r="V6" s="1451"/>
      <c r="W6" s="1416"/>
      <c r="X6" s="1419"/>
      <c r="Y6" s="1419"/>
      <c r="Z6" s="1454"/>
      <c r="AA6" s="1410"/>
      <c r="AB6" s="1413"/>
      <c r="AC6" s="1413"/>
      <c r="AD6" s="1422"/>
      <c r="AE6" s="1407"/>
      <c r="AF6" s="1445"/>
      <c r="AG6" s="1413"/>
      <c r="AH6" s="1439"/>
      <c r="AI6" s="1410"/>
      <c r="AJ6" s="1448"/>
      <c r="AK6" s="1436"/>
      <c r="AL6" s="1407"/>
      <c r="AM6" s="1407"/>
      <c r="AN6" s="1407"/>
      <c r="AO6" s="1407"/>
      <c r="AP6" s="1407"/>
      <c r="AQ6" s="1407"/>
      <c r="AR6" s="1407"/>
      <c r="AS6" s="1407"/>
      <c r="AT6" s="1407"/>
      <c r="AU6" s="1407"/>
      <c r="AV6" s="1407"/>
      <c r="AW6" s="1407"/>
      <c r="AX6" s="1407"/>
      <c r="AY6" s="1407"/>
      <c r="AZ6" s="1407"/>
      <c r="BF6" s="1462" t="s">
        <v>183</v>
      </c>
      <c r="BG6" s="1462" t="s">
        <v>184</v>
      </c>
      <c r="BH6" s="1462" t="s">
        <v>183</v>
      </c>
      <c r="BI6" s="1462" t="s">
        <v>184</v>
      </c>
      <c r="BJ6" s="1462" t="s">
        <v>183</v>
      </c>
      <c r="BK6" s="1462" t="s">
        <v>184</v>
      </c>
      <c r="BL6" s="1462" t="s">
        <v>183</v>
      </c>
      <c r="BM6" s="1462" t="s">
        <v>184</v>
      </c>
    </row>
    <row r="7" spans="1:65" ht="38.25" customHeight="1" thickBot="1">
      <c r="A7" s="1426"/>
      <c r="B7" s="279"/>
      <c r="C7" s="269" t="str">
        <f>Datos!A7</f>
        <v>COMPETENCIAS</v>
      </c>
      <c r="D7" s="1408"/>
      <c r="E7" s="1408"/>
      <c r="F7" s="1431"/>
      <c r="G7" s="1434"/>
      <c r="H7" s="1414"/>
      <c r="I7" s="1414"/>
      <c r="J7" s="1414"/>
      <c r="K7" s="1414"/>
      <c r="L7" s="1414"/>
      <c r="M7" s="1414"/>
      <c r="N7" s="1414"/>
      <c r="O7" s="1414"/>
      <c r="P7" s="1414"/>
      <c r="Q7" s="1414"/>
      <c r="R7" s="1440"/>
      <c r="S7" s="1443"/>
      <c r="T7" s="1461"/>
      <c r="U7" s="1458"/>
      <c r="V7" s="1452"/>
      <c r="W7" s="1417"/>
      <c r="X7" s="1420"/>
      <c r="Y7" s="1420"/>
      <c r="Z7" s="1455"/>
      <c r="AA7" s="1411"/>
      <c r="AB7" s="1414"/>
      <c r="AC7" s="1414"/>
      <c r="AD7" s="1423"/>
      <c r="AE7" s="1408"/>
      <c r="AF7" s="1446"/>
      <c r="AG7" s="1414"/>
      <c r="AH7" s="1440"/>
      <c r="AI7" s="1411"/>
      <c r="AJ7" s="1449"/>
      <c r="AK7" s="1437"/>
      <c r="AL7" s="1408"/>
      <c r="AM7" s="1408"/>
      <c r="AN7" s="1408"/>
      <c r="AO7" s="1408"/>
      <c r="AP7" s="1408"/>
      <c r="AQ7" s="1408"/>
      <c r="AR7" s="1408"/>
      <c r="AS7" s="1408"/>
      <c r="AT7" s="1408"/>
      <c r="AU7" s="1408"/>
      <c r="AV7" s="1408"/>
      <c r="AW7" s="1408"/>
      <c r="AX7" s="1408"/>
      <c r="AY7" s="1408"/>
      <c r="AZ7" s="1408"/>
      <c r="BF7" s="1463"/>
      <c r="BG7" s="1463"/>
      <c r="BH7" s="1463"/>
      <c r="BI7" s="1463"/>
      <c r="BJ7" s="1463"/>
      <c r="BK7" s="1463"/>
      <c r="BL7" s="1463"/>
      <c r="BM7" s="1463"/>
    </row>
    <row r="8" spans="1:65" ht="15.75" thickTop="1" thickBot="1">
      <c r="A8" s="181"/>
      <c r="B8" s="181"/>
      <c r="C8" s="166" t="str">
        <f>Datos!A8</f>
        <v>Jurisdicción Civil ( 1 ):</v>
      </c>
      <c r="D8" s="229"/>
      <c r="E8" s="229"/>
      <c r="F8" s="221"/>
      <c r="G8" s="221"/>
      <c r="H8" s="221"/>
      <c r="I8" s="222"/>
      <c r="J8" s="222"/>
      <c r="K8" s="222"/>
      <c r="L8" s="222"/>
      <c r="M8" s="222"/>
      <c r="N8" s="222"/>
      <c r="O8" s="222"/>
      <c r="P8" s="222"/>
      <c r="Q8" s="222"/>
      <c r="R8" s="222"/>
      <c r="S8" s="226"/>
      <c r="T8" s="227"/>
      <c r="U8" s="227"/>
      <c r="V8" s="228"/>
      <c r="W8" s="221"/>
      <c r="X8" s="222"/>
      <c r="Y8" s="222"/>
      <c r="Z8" s="222"/>
      <c r="AA8" s="221"/>
      <c r="AB8" s="222"/>
      <c r="AC8" s="222"/>
      <c r="AD8" s="222"/>
      <c r="AE8" s="314"/>
      <c r="AF8" s="221"/>
      <c r="AG8" s="222"/>
      <c r="AH8" s="223"/>
      <c r="AI8" s="221"/>
      <c r="AJ8" s="224"/>
      <c r="AK8" s="225"/>
      <c r="AL8" s="226"/>
      <c r="AM8" s="227"/>
      <c r="AN8" s="227"/>
      <c r="AO8" s="228"/>
      <c r="AP8" s="229"/>
      <c r="AQ8" s="229"/>
      <c r="AR8" s="308"/>
      <c r="AS8" s="229"/>
      <c r="AT8" s="229"/>
      <c r="AU8" s="229"/>
      <c r="AV8" s="229"/>
      <c r="AW8" s="229"/>
      <c r="AX8" s="304"/>
      <c r="AY8" s="304"/>
      <c r="AZ8" s="304"/>
      <c r="BF8" s="52"/>
      <c r="BG8" s="52"/>
      <c r="BH8" s="52"/>
      <c r="BI8" s="52"/>
      <c r="BJ8" s="52"/>
      <c r="BK8" s="52"/>
      <c r="BL8" s="52"/>
      <c r="BM8" s="52"/>
    </row>
    <row r="9" spans="1:65" ht="14.25">
      <c r="A9" s="182">
        <f>Datos!AO9</f>
        <v>0</v>
      </c>
      <c r="B9" s="182" t="s">
        <v>273</v>
      </c>
      <c r="C9" s="165" t="str">
        <f>Datos!A9</f>
        <v xml:space="preserve">Jdos. 1ª Instancia   </v>
      </c>
      <c r="D9" s="165"/>
      <c r="E9" s="1205">
        <f>IF(ISNUMBER(Datos!AQ9),Datos!AQ9," - ")</f>
        <v>0</v>
      </c>
      <c r="F9" s="230" t="str">
        <f>IF(ISNUMBER(AA9+W9-I9-K9),AA9+W9-I9-K9," - ")</f>
        <v xml:space="preserve"> - </v>
      </c>
      <c r="G9" s="343" t="str">
        <f>IF(ISNUMBER(IF(J_V="SI",Datos!I9,Datos!I9+Datos!Y9)-IF(Monitorios="SI",Datos!CA9,0)),
                          IF(J_V="SI",Datos!I9,Datos!I9+Datos!Y9)-IF(Monitorios="SI",Datos!CA9,0),
                          " - ")</f>
        <v xml:space="preserve"> - </v>
      </c>
      <c r="H9" s="230" t="str">
        <f>IF(ISNUMBER(Datos!DB9),Datos!DB9," - ")</f>
        <v xml:space="preserve"> - </v>
      </c>
      <c r="I9" s="231" t="str">
        <f>IF(ISNUMBER(Datos!DC9),Datos!DC9," - ")</f>
        <v xml:space="preserve"> - </v>
      </c>
      <c r="J9" s="231" t="str">
        <f>IF(ISNUMBER(Datos!DD9),Datos!DD9," - ")</f>
        <v xml:space="preserve"> - </v>
      </c>
      <c r="K9" s="231">
        <f>IF(ISNUMBER(Datos!DF9),Datos!DF9,0)</f>
        <v>0</v>
      </c>
      <c r="L9" s="231">
        <f>IF(ISNUMBER(Datos!P9),Datos!P9,0)</f>
        <v>0</v>
      </c>
      <c r="M9" s="231" t="str">
        <f>IF(ISNUMBER(Datos!DE9),Datos!DE9," - ")</f>
        <v xml:space="preserve"> - </v>
      </c>
      <c r="N9" s="231" t="str">
        <f>IF(ISNUMBER(H9+L9),H9+L9," - ")</f>
        <v xml:space="preserve"> - </v>
      </c>
      <c r="O9" s="344"/>
      <c r="P9" s="347" t="str">
        <f>IF(ISNUMBER((N9)/((BL9+BM9)/2)),(N9)/((BL9+BM9)/2)," - ")</f>
        <v xml:space="preserve"> - </v>
      </c>
      <c r="Q9" s="347" t="str">
        <f>IF(ISNUMBER((N9)/((BL9+BM9)/2)),(N9)/((BL9+BM9)/2)," - ")</f>
        <v xml:space="preserve"> - </v>
      </c>
      <c r="R9" s="232" t="str">
        <f>IF(ISNUMBER(Datos!CB9),Datos!CB9," - ")</f>
        <v xml:space="preserve"> - </v>
      </c>
      <c r="S9" s="230">
        <f>IF(ISNUMBER(Datos!BY9+Datos!BZ9*0.86),Datos!BY9+Datos!BZ9*0.86," - ")</f>
        <v>0</v>
      </c>
      <c r="T9" s="347">
        <f>IF(ISNUMBER((S9*factor_trimestre)/DatosB!CN9),(S9*factor_trimestre)/DatosB!CN9,"-")</f>
        <v>0</v>
      </c>
      <c r="U9" s="303"/>
      <c r="V9" s="347">
        <f>IF(ISNUMBER((U9*factor_trimestre)/DatosB!CN9),(U9*factor_trimestre)/DatosB!CN9,"-")</f>
        <v>0</v>
      </c>
      <c r="W9" s="230" t="str">
        <f>IF(ISNUMBER(IF(J_V="SI",Datos!K9,Datos!K9+Datos!AA9)-IF(Monitorios="SI",Datos!CC9,0)),
                          IF(J_V="SI",Datos!K9,Datos!K9+Datos!AA9)-IF(Monitorios="SI",Datos!CC9,0),
                          " - ")</f>
        <v xml:space="preserve"> - </v>
      </c>
      <c r="X9" s="231" t="str">
        <f>IF(ISNUMBER(Datos!Q9),Datos!Q9," - ")</f>
        <v xml:space="preserve"> - </v>
      </c>
      <c r="Y9" s="344">
        <f>SUM(W9:X9)</f>
        <v>0</v>
      </c>
      <c r="Z9" s="345" t="str">
        <f>IF(ISNUMBER(Datos!CC9),Datos!CC9," - ")</f>
        <v xml:space="preserve"> - </v>
      </c>
      <c r="AA9" s="342" t="str">
        <f>IF(ISNUMBER(IF(J_V="SI",Datos!L9,Datos!L9+Datos!AB9)-IF(Monitorios="SI",Datos!CD9,0)),
                          IF(J_V="SI",Datos!L9,Datos!L9+Datos!AB9)-IF(Monitorios="SI",Datos!CD9,0),
                          " - ")</f>
        <v xml:space="preserve"> - </v>
      </c>
      <c r="AB9" s="344" t="str">
        <f>IF(ISNUMBER(Datos!R9),Datos!R9," - ")</f>
        <v xml:space="preserve"> - </v>
      </c>
      <c r="AC9" s="344" t="str">
        <f>IF(ISNUMBER(AA9+AB9),AA9+AB9," - ")</f>
        <v xml:space="preserve"> - </v>
      </c>
      <c r="AD9" s="345" t="str">
        <f>IF(ISNUMBER(Datos!CD9),Datos!CD9," - ")</f>
        <v xml:space="preserve"> - </v>
      </c>
      <c r="AE9" s="234" t="str">
        <f>IF(ISNUMBER(Datos!BV9),Datos!BV9," - ")</f>
        <v xml:space="preserve"> - </v>
      </c>
      <c r="AF9" s="230" t="str">
        <f>IF(ISNUMBER(Datos!CK9),Datos!CK9," - ")</f>
        <v xml:space="preserve"> - </v>
      </c>
      <c r="AG9" s="303" t="str">
        <f>IF(ISNUMBER(Datos!CL9),Datos!CL9," - ")</f>
        <v xml:space="preserve"> - </v>
      </c>
      <c r="AH9" s="232" t="str">
        <f>IF(ISNUMBER(Datos!CM9),Datos!CM9," - ")</f>
        <v xml:space="preserve"> - </v>
      </c>
      <c r="AI9" s="230" t="str">
        <f>IF(ISNUMBER(Datos!M9),Datos!M9," - ")</f>
        <v xml:space="preserve"> - </v>
      </c>
      <c r="AJ9" s="234" t="str">
        <f>IF(ISNUMBER(Datos!BW9),Datos!BW9," - ")</f>
        <v xml:space="preserve"> - </v>
      </c>
      <c r="AK9" s="233" t="str">
        <f>IF(ISNUMBER(Datos!BX9),Datos!BX9," - ")</f>
        <v xml:space="preserve"> - </v>
      </c>
      <c r="AL9" s="248" t="str">
        <f>IF(ISNUMBER(NºAsuntos!G9/NºAsuntos!E9),NºAsuntos!G9/NºAsuntos!E9," - ")</f>
        <v xml:space="preserve"> - </v>
      </c>
      <c r="AM9" s="265" t="str">
        <f>IF(ISNUMBER(((NºAsuntos!I9/NºAsuntos!G9)*11)/factor_trimestre),((NºAsuntos!I9/NºAsuntos!G9)*11)/factor_trimestre," - ")</f>
        <v xml:space="preserve"> - </v>
      </c>
      <c r="AN9" s="249" t="str">
        <f>IF(ISNUMBER('Resol  Asuntos'!D9/NºAsuntos!G9),'Resol  Asuntos'!D9/NºAsuntos!G9," - ")</f>
        <v xml:space="preserve"> - </v>
      </c>
      <c r="AO9" s="250" t="str">
        <f>IF(ISNUMBER((NºAsuntos!C9+NºAsuntos!E9)/NºAsuntos!G9),(NºAsuntos!C9+NºAsuntos!E9)/NºAsuntos!G9," - ")</f>
        <v xml:space="preserve"> - </v>
      </c>
      <c r="AP9" s="235" t="str">
        <f>IF(ISNUMBER(AT9/AU9),AT9/AU9," - ")</f>
        <v xml:space="preserve"> - </v>
      </c>
      <c r="AQ9" s="235" t="str">
        <f>IF(ISNUMBER((I9-W9+K9)/(F9)),(I9-W9+K9)/(F9)," - ")</f>
        <v xml:space="preserve"> - </v>
      </c>
      <c r="AR9" s="309" t="str">
        <f>IF(ISNUMBER((Datos!P9-Datos!Q9+M9)/(Datos!R9-Datos!P9+Datos!Q9-M9)),(Datos!P9-Datos!Q9+M9)/(Datos!R9-Datos!P9+Datos!Q9-M9)," - ")</f>
        <v xml:space="preserve"> - </v>
      </c>
      <c r="AS9" s="271" t="str">
        <f>IF(ISNUMBER(Datos!CS9),Datos!CS9," - ")</f>
        <v xml:space="preserve"> - </v>
      </c>
      <c r="AT9" s="271" t="str">
        <f>IF(ISNUMBER(Datos!CI9),Datos!CI9," - ")</f>
        <v xml:space="preserve"> - </v>
      </c>
      <c r="AU9" s="271" t="str">
        <f>IF(ISNUMBER(Datos!CJ9),Datos!CJ9," - ")</f>
        <v xml:space="preserve"> - </v>
      </c>
      <c r="AV9" s="271" t="str">
        <f>IF(ISNUMBER(Datos!CW9),Datos!CW9," - ")</f>
        <v xml:space="preserve"> - </v>
      </c>
      <c r="AW9" s="271" t="str">
        <f>IF(ISNUMBER(Datos!EV9),Datos!EV9," - ")</f>
        <v xml:space="preserve"> - </v>
      </c>
      <c r="AX9" s="271">
        <f>IF(ISNUMBER(Datos!CX9)," - ",Datos!CX9)</f>
        <v>0</v>
      </c>
      <c r="AY9" s="271" t="str">
        <f>IF(ISNUMBER(Datos!ET9),Datos!ET9," - ")</f>
        <v xml:space="preserve"> - </v>
      </c>
      <c r="AZ9" s="1139" t="e">
        <f>(AY9/Datos!ER9)*factor_trimestre</f>
        <v>#VALUE!</v>
      </c>
      <c r="BF9" s="159">
        <f>Datos!BN9/factor_trimestre</f>
        <v>0</v>
      </c>
      <c r="BG9" s="159">
        <f>Datos!BO9/factor_trimestre</f>
        <v>0</v>
      </c>
      <c r="BH9" s="159">
        <f>Datos!BP9/factor_trimestre</f>
        <v>0</v>
      </c>
      <c r="BI9" s="159">
        <f>Datos!BQ9/factor_trimestre</f>
        <v>0</v>
      </c>
      <c r="BJ9" s="159">
        <f>Datos!BR9/factor_trimestre</f>
        <v>0</v>
      </c>
      <c r="BK9" s="159">
        <f>Datos!BS9/factor_trimestre</f>
        <v>0</v>
      </c>
      <c r="BL9" s="159">
        <f>Datos!BT9/factor_trimestre</f>
        <v>0</v>
      </c>
      <c r="BM9" s="159">
        <f>Datos!BU9/factor_trimestre</f>
        <v>0</v>
      </c>
    </row>
    <row r="10" spans="1:65" ht="14.25">
      <c r="A10" s="182">
        <f>Datos!AO10</f>
        <v>1</v>
      </c>
      <c r="B10" s="280" t="s">
        <v>273</v>
      </c>
      <c r="C10" s="7" t="str">
        <f>Datos!A10</f>
        <v>Jdos. Violencia contra la mujer</v>
      </c>
      <c r="D10" s="7"/>
      <c r="E10" s="1205">
        <f>IF(ISNUMBER(Datos!AQ10),Datos!AQ10," - ")</f>
        <v>0</v>
      </c>
      <c r="F10" s="230">
        <f>IF(ISNUMBER(Datos!L10+Datos!K10-Datos!J10-K10),Datos!L10+Datos!K10-Datos!J10-K10," - ")</f>
        <v>1</v>
      </c>
      <c r="G10" s="343">
        <f>IF(ISNUMBER(Datos!I10),Datos!I10," - ")</f>
        <v>1</v>
      </c>
      <c r="H10" s="230" t="str">
        <f>IF(ISNUMBER(Datos!DB10),Datos!DB10," - ")</f>
        <v xml:space="preserve"> - </v>
      </c>
      <c r="I10" s="231" t="str">
        <f>IF(ISNUMBER(Datos!DC10),Datos!DC10," - ")</f>
        <v xml:space="preserve"> - </v>
      </c>
      <c r="J10" s="231" t="str">
        <f>IF(ISNUMBER(Datos!DD10),Datos!DD10," - ")</f>
        <v xml:space="preserve"> - </v>
      </c>
      <c r="K10" s="231">
        <f>IF(ISNUMBER(Datos!DF10),Datos!DF10,0)</f>
        <v>0</v>
      </c>
      <c r="L10" s="231">
        <f>IF(ISNUMBER(Datos!P10),Datos!P10,0)</f>
        <v>0</v>
      </c>
      <c r="M10" s="231" t="str">
        <f>IF(ISNUMBER(Datos!DE10),Datos!DE10," - ")</f>
        <v xml:space="preserve"> - </v>
      </c>
      <c r="N10" s="231" t="str">
        <f>IF(ISNUMBER(H10),H10," - ")</f>
        <v xml:space="preserve"> - </v>
      </c>
      <c r="O10" s="317" t="e">
        <f ca="1">IF(ISNUMBER(INDIRECT("N"&amp;ROW()+salto-1)),N10+(INDIRECT("N"&amp;ROW()+salto-1)),N10+(INDIRECT("N"&amp;ROW()-salto+1)))</f>
        <v>#VALUE!</v>
      </c>
      <c r="P10" s="347" t="str">
        <f>IF(ISNUMBER((N10)/((BL10+BM10)/2)),(N10)/((BL10+BM10)/2)," - ")</f>
        <v xml:space="preserve"> - </v>
      </c>
      <c r="Q10" s="347" t="str">
        <f>IF(jurisdiccion="Jurisdicción Civil y Penal",IF(ISNUMBER((O10)/((BL10+BM10)/2)),(O10)/((BL10+BM10)/2)," - "),IF(ISNUMBER((N10)/((BF10+BG10)/2)),(N10)/((BF10+BG10)/2)," - "))</f>
        <v xml:space="preserve"> - </v>
      </c>
      <c r="R10" s="232" t="str">
        <f>IF(ISNUMBER(Datos!CB10),Datos!CB10," - ")</f>
        <v xml:space="preserve"> - </v>
      </c>
      <c r="S10" s="230" t="str">
        <f>IF(ISNUMBER(Datos!BY10),Datos!BY10," - ")</f>
        <v xml:space="preserve"> - </v>
      </c>
      <c r="T10" s="347" t="str">
        <f>IF(ISNUMBER((S10*factor_trimestre)/DatosB!CN10),(S10*factor_trimestre)/DatosB!CN10,"-")</f>
        <v>-</v>
      </c>
      <c r="U10" s="146" t="e">
        <f ca="1">IF(ISNUMBER(INDIRECT("S"&amp;ROW()+salto-1)),S10+(INDIRECT("S"&amp;ROW()+salto-1)),S10+(INDIRECT("S"&amp;ROW()-salto+1)))</f>
        <v>#VALUE!</v>
      </c>
      <c r="V10" s="347" t="str">
        <f ca="1">IF(ISNUMBER((U10*factor_trimestre)/DatosB!CN10),(U10*factor_trimestre)/DatosB!CN10,"-")</f>
        <v>-</v>
      </c>
      <c r="W10" s="230">
        <f>IF(ISNUMBER(Datos!K10),Datos!K10," - ")</f>
        <v>1</v>
      </c>
      <c r="X10" s="231">
        <f>IF(ISNUMBER(Datos!Q10),Datos!Q10," - ")</f>
        <v>0</v>
      </c>
      <c r="Y10" s="344">
        <f t="shared" ref="Y10:Y13" si="0">SUM(W10:X10)</f>
        <v>1</v>
      </c>
      <c r="Z10" s="345" t="str">
        <f>IF(ISNUMBER(Datos!CC10),Datos!CC10," - ")</f>
        <v xml:space="preserve"> - </v>
      </c>
      <c r="AA10" s="342">
        <f>IF(ISNUMBER(Datos!L10),Datos!L10,"-")</f>
        <v>2</v>
      </c>
      <c r="AB10" s="344">
        <f>IF(ISNUMBER(Datos!R10),Datos!R10," - ")</f>
        <v>7</v>
      </c>
      <c r="AC10" s="344">
        <f t="shared" ref="AC10:AC13" si="1">IF(ISNUMBER(AA10+AB10),AA10+AB10," - ")</f>
        <v>9</v>
      </c>
      <c r="AD10" s="345" t="str">
        <f>IF(ISNUMBER(Datos!CD10),Datos!CD10," - ")</f>
        <v xml:space="preserve"> - </v>
      </c>
      <c r="AE10" s="234" t="str">
        <f>IF(ISNUMBER(Datos!BV10),Datos!BV10," - ")</f>
        <v xml:space="preserve"> - </v>
      </c>
      <c r="AF10" s="230" t="str">
        <f>IF(ISNUMBER(Datos!CK10),Datos!CK10," - ")</f>
        <v xml:space="preserve"> - </v>
      </c>
      <c r="AG10" s="303" t="str">
        <f>IF(ISNUMBER(Datos!CL10),Datos!CL10," - ")</f>
        <v xml:space="preserve"> - </v>
      </c>
      <c r="AH10" s="232" t="str">
        <f>IF(ISNUMBER(Datos!CM10),Datos!CM10," - ")</f>
        <v xml:space="preserve"> - </v>
      </c>
      <c r="AI10" s="230">
        <f>IF(ISNUMBER(Datos!M10),Datos!M10," - ")</f>
        <v>1</v>
      </c>
      <c r="AJ10" s="236" t="str">
        <f>IF(ISNUMBER(Datos!BW10),Datos!BW10," - ")</f>
        <v xml:space="preserve"> - </v>
      </c>
      <c r="AK10" s="237" t="str">
        <f>IF(ISNUMBER(Datos!BX10),Datos!BX10," - ")</f>
        <v xml:space="preserve"> - </v>
      </c>
      <c r="AL10" s="248">
        <f>IF(ISNUMBER(NºAsuntos!G10/NºAsuntos!E10),NºAsuntos!G10/NºAsuntos!E10," - ")</f>
        <v>0.5</v>
      </c>
      <c r="AM10" s="265">
        <f>IF(ISNUMBER(((NºAsuntos!I10/NºAsuntos!G10)*11)/factor_trimestre),((NºAsuntos!I10/NºAsuntos!G10)*11)/factor_trimestre," - ")</f>
        <v>6</v>
      </c>
      <c r="AN10" s="249">
        <f>IF(ISNUMBER('Resol  Asuntos'!D10/NºAsuntos!G10),'Resol  Asuntos'!D10/NºAsuntos!G10," - ")</f>
        <v>1</v>
      </c>
      <c r="AO10" s="250">
        <f>IF(ISNUMBER((NºAsuntos!C10+NºAsuntos!E10)/NºAsuntos!G10),(NºAsuntos!C10+NºAsuntos!E10)/NºAsuntos!G10," - ")</f>
        <v>3</v>
      </c>
      <c r="AP10" s="235" t="str">
        <f t="shared" ref="AP10:AP22" si="2">IF(ISNUMBER(AT10/AU10),AT10/AU10," - ")</f>
        <v xml:space="preserve"> - </v>
      </c>
      <c r="AQ10" s="235" t="str">
        <f>IF(ISNUMBER((H10-W10+K10)/(F10)),(H10-W10+K10)/(F10)," - ")</f>
        <v xml:space="preserve"> - </v>
      </c>
      <c r="AR10" s="309" t="str">
        <f>IF(ISNUMBER((Datos!P10-Datos!Q10+M10)/(Datos!R10-Datos!P10+Datos!Q10-M10)),(Datos!P10-Datos!Q10+M10)/(Datos!R10-Datos!P10+Datos!Q10-M10)," - ")</f>
        <v xml:space="preserve"> - </v>
      </c>
      <c r="AS10" s="271" t="str">
        <f>IF(ISNUMBER(Datos!CS10),Datos!CS10," - ")</f>
        <v xml:space="preserve"> - </v>
      </c>
      <c r="AT10" s="271" t="str">
        <f>IF(ISNUMBER(Datos!CI10),Datos!CI10," - ")</f>
        <v xml:space="preserve"> - </v>
      </c>
      <c r="AU10" s="271" t="str">
        <f>IF(ISNUMBER(Datos!CJ10),Datos!CJ10," - ")</f>
        <v xml:space="preserve"> - </v>
      </c>
      <c r="AV10" s="271" t="str">
        <f>IF(ISNUMBER(Datos!CW10),Datos!CW10," - ")</f>
        <v xml:space="preserve"> - </v>
      </c>
      <c r="AW10" s="271" t="str">
        <f>IF(ISNUMBER(Datos!EV10),Datos!EV10," - ")</f>
        <v xml:space="preserve"> - </v>
      </c>
      <c r="AX10" s="271">
        <f>IF(ISNUMBER(Datos!CX10)," - ",Datos!CX10)</f>
        <v>0</v>
      </c>
      <c r="AY10" s="271" t="str">
        <f>IF(ISNUMBER(Datos!EO10),Datos!EO10," - ")</f>
        <v xml:space="preserve"> - </v>
      </c>
      <c r="AZ10" s="1139" t="e">
        <f>(AY10/Datos!ER10)*factor_trimestre</f>
        <v>#VALUE!</v>
      </c>
      <c r="BF10" s="159">
        <f>Datos!BN10/factor_trimestre</f>
        <v>0</v>
      </c>
      <c r="BG10" s="159">
        <f>Datos!BO10/factor_trimestre</f>
        <v>0</v>
      </c>
      <c r="BH10" s="159">
        <f>Datos!BP10/factor_trimestre</f>
        <v>0</v>
      </c>
      <c r="BI10" s="159">
        <f>Datos!BQ10/factor_trimestre</f>
        <v>0</v>
      </c>
      <c r="BJ10" s="159">
        <f>Datos!BR10/factor_trimestre</f>
        <v>0</v>
      </c>
      <c r="BK10" s="159">
        <f>Datos!BS10/factor_trimestre</f>
        <v>0</v>
      </c>
      <c r="BL10" s="159">
        <f>Datos!BT10/factor_trimestre</f>
        <v>0</v>
      </c>
      <c r="BM10" s="159">
        <f>Datos!BU10/factor_trimestre</f>
        <v>0</v>
      </c>
    </row>
    <row r="11" spans="1:65" ht="14.25">
      <c r="A11" s="182">
        <f>Datos!AO11</f>
        <v>0</v>
      </c>
      <c r="B11" s="280" t="s">
        <v>273</v>
      </c>
      <c r="C11" s="7" t="str">
        <f>Datos!A11</f>
        <v xml:space="preserve">Jdos. Familia                                   </v>
      </c>
      <c r="D11" s="7"/>
      <c r="E11" s="1205">
        <f>IF(ISNUMBER(Datos!AQ11),Datos!AQ11," - ")</f>
        <v>0</v>
      </c>
      <c r="F11" s="230" t="str">
        <f>IF(ISNUMBER(AA11+W11-I11-K11),AA11+W11-I11-K11," - ")</f>
        <v xml:space="preserve"> - </v>
      </c>
      <c r="G11" s="343" t="str">
        <f>IF(ISNUMBER(IF(J_V="SI",Datos!I11,Datos!I11+Datos!Y11)-IF(Monitorios="SI",Datos!CA11,0)),
                          IF(J_V="SI",Datos!I11,Datos!I11+Datos!Y11)-IF(Monitorios="SI",Datos!CA11,0),
                          " - ")</f>
        <v xml:space="preserve"> - </v>
      </c>
      <c r="H11" s="230" t="str">
        <f>IF(ISNUMBER(Datos!DB11),Datos!DB11," - ")</f>
        <v xml:space="preserve"> - </v>
      </c>
      <c r="I11" s="231" t="str">
        <f>IF(ISNUMBER(Datos!DC11),Datos!DC11," - ")</f>
        <v xml:space="preserve"> - </v>
      </c>
      <c r="J11" s="231" t="str">
        <f>IF(ISNUMBER(Datos!DD11),Datos!DD11," - ")</f>
        <v xml:space="preserve"> - </v>
      </c>
      <c r="K11" s="231">
        <f>IF(ISNUMBER(Datos!DF11),Datos!DF11,0)</f>
        <v>0</v>
      </c>
      <c r="L11" s="231">
        <f>IF(ISNUMBER(Datos!P11),Datos!P11,0)</f>
        <v>0</v>
      </c>
      <c r="M11" s="231" t="str">
        <f>IF(ISNUMBER(Datos!DE11),Datos!DE11," - ")</f>
        <v xml:space="preserve"> - </v>
      </c>
      <c r="N11" s="231" t="str">
        <f>IF(ISNUMBER(H11+L11),H11+L11," - ")</f>
        <v xml:space="preserve"> - </v>
      </c>
      <c r="O11" s="344"/>
      <c r="P11" s="347" t="str">
        <f>IF(ISNUMBER((N11)/((BL11+BM11)/2)),(N11)/((BL11+BM11)/2)," - ")</f>
        <v xml:space="preserve"> - </v>
      </c>
      <c r="Q11" s="347" t="str">
        <f>IF(ISNUMBER((N11)/((BL11+BM11)/2)),(N11)/((BL11+BM11)/2)," - ")</f>
        <v xml:space="preserve"> - </v>
      </c>
      <c r="R11" s="232" t="str">
        <f>IF(ISNUMBER(Datos!CB11),Datos!CB11," - ")</f>
        <v xml:space="preserve"> - </v>
      </c>
      <c r="S11" s="230">
        <f>IF(ISNUMBER(Datos!BY11+Datos!BZ11),Datos!BY11+Datos!BZ11," - ")</f>
        <v>0</v>
      </c>
      <c r="T11" s="347">
        <f>IF(ISNUMBER((S11*factor_trimestre)/DatosB!CN11),(S11*factor_trimestre)/DatosB!CN11,"-")</f>
        <v>0</v>
      </c>
      <c r="U11" s="303"/>
      <c r="V11" s="347">
        <f>IF(ISNUMBER((U11*factor_trimestre)/DatosB!CN11),(U11*factor_trimestre)/DatosB!CN11,"-")</f>
        <v>0</v>
      </c>
      <c r="W11" s="230" t="str">
        <f>IF(ISNUMBER(IF(J_V="SI",Datos!K11,Datos!K11+Datos!AA11)-IF(Monitorios="SI",Datos!CC11,0)),
                          IF(J_V="SI",Datos!K11,Datos!K11+Datos!AA11)-IF(Monitorios="SI",Datos!CC11,0),
                          " - ")</f>
        <v xml:space="preserve"> - </v>
      </c>
      <c r="X11" s="231" t="str">
        <f>IF(ISNUMBER(Datos!Q11),Datos!Q11," - ")</f>
        <v xml:space="preserve"> - </v>
      </c>
      <c r="Y11" s="344">
        <f t="shared" si="0"/>
        <v>0</v>
      </c>
      <c r="Z11" s="345" t="str">
        <f>IF(ISNUMBER(Datos!CC11),Datos!CC11," - ")</f>
        <v xml:space="preserve"> - </v>
      </c>
      <c r="AA11" s="342" t="str">
        <f>IF(ISNUMBER(IF(J_V="SI",Datos!L11,Datos!L11+Datos!AB11)-IF(Monitorios="SI",Datos!CD11,0)),
                          IF(J_V="SI",Datos!L11,Datos!L11+Datos!AB11)-IF(Monitorios="SI",Datos!CD11,0),
                          " - ")</f>
        <v xml:space="preserve"> - </v>
      </c>
      <c r="AB11" s="344" t="str">
        <f>IF(ISNUMBER(Datos!R11),Datos!R11," - ")</f>
        <v xml:space="preserve"> - </v>
      </c>
      <c r="AC11" s="344" t="str">
        <f t="shared" si="1"/>
        <v xml:space="preserve"> - </v>
      </c>
      <c r="AD11" s="345" t="str">
        <f>IF(ISNUMBER(Datos!CD11),Datos!CD11," - ")</f>
        <v xml:space="preserve"> - </v>
      </c>
      <c r="AE11" s="234" t="str">
        <f>IF(ISNUMBER(Datos!BV11),Datos!BV11," - ")</f>
        <v xml:space="preserve"> - </v>
      </c>
      <c r="AF11" s="230" t="str">
        <f>IF(ISNUMBER(Datos!CK11),Datos!CK11," - ")</f>
        <v xml:space="preserve"> - </v>
      </c>
      <c r="AG11" s="303" t="str">
        <f>IF(ISNUMBER(Datos!CL11),Datos!CL11," - ")</f>
        <v xml:space="preserve"> - </v>
      </c>
      <c r="AH11" s="232" t="str">
        <f>IF(ISNUMBER(Datos!CM11),Datos!CM11," - ")</f>
        <v xml:space="preserve"> - </v>
      </c>
      <c r="AI11" s="230" t="str">
        <f>IF(ISNUMBER(Datos!M11),Datos!M11," - ")</f>
        <v xml:space="preserve"> - </v>
      </c>
      <c r="AJ11" s="236" t="str">
        <f>IF(ISNUMBER(Datos!BW11),Datos!BW11," - ")</f>
        <v xml:space="preserve"> - </v>
      </c>
      <c r="AK11" s="237" t="str">
        <f>IF(ISNUMBER(Datos!BX11),Datos!BX11," - ")</f>
        <v xml:space="preserve"> - </v>
      </c>
      <c r="AL11" s="248" t="str">
        <f>IF(ISNUMBER(NºAsuntos!G11/NºAsuntos!E11),NºAsuntos!G11/NºAsuntos!E11," - ")</f>
        <v xml:space="preserve"> - </v>
      </c>
      <c r="AM11" s="265" t="str">
        <f>IF(ISNUMBER(((NºAsuntos!I11/NºAsuntos!G11)*11)/factor_trimestre),((NºAsuntos!I11/NºAsuntos!G11)*11)/factor_trimestre," - ")</f>
        <v xml:space="preserve"> - </v>
      </c>
      <c r="AN11" s="249" t="str">
        <f>IF(ISNUMBER('Resol  Asuntos'!D11/NºAsuntos!G11),'Resol  Asuntos'!D11/NºAsuntos!G11," - ")</f>
        <v xml:space="preserve"> - </v>
      </c>
      <c r="AO11" s="250" t="str">
        <f>IF(ISNUMBER((NºAsuntos!C11+NºAsuntos!E11)/NºAsuntos!G11),(NºAsuntos!C11+NºAsuntos!E11)/NºAsuntos!G11," - ")</f>
        <v xml:space="preserve"> - </v>
      </c>
      <c r="AP11" s="235" t="str">
        <f t="shared" si="2"/>
        <v xml:space="preserve"> - </v>
      </c>
      <c r="AQ11" s="235" t="str">
        <f>IF(ISNUMBER((I11-W11+K11)/(F11)),(I11-W11+K11)/(F11)," - ")</f>
        <v xml:space="preserve"> - </v>
      </c>
      <c r="AR11" s="309" t="str">
        <f>IF(ISNUMBER((Datos!P11-Datos!Q11+M11)/(Datos!R11-Datos!P11+Datos!Q11-M11)),(Datos!P11-Datos!Q11+M11)/(Datos!R11-Datos!P11+Datos!Q11-M11)," - ")</f>
        <v xml:space="preserve"> - </v>
      </c>
      <c r="AS11" s="271" t="str">
        <f>IF(ISNUMBER(Datos!CS11),Datos!CS11," - ")</f>
        <v xml:space="preserve"> - </v>
      </c>
      <c r="AT11" s="271" t="str">
        <f>IF(ISNUMBER(Datos!CI11),Datos!CI11," - ")</f>
        <v xml:space="preserve"> - </v>
      </c>
      <c r="AU11" s="271" t="str">
        <f>IF(ISNUMBER(Datos!CJ11),Datos!CJ11," - ")</f>
        <v xml:space="preserve"> - </v>
      </c>
      <c r="AV11" s="271" t="str">
        <f>IF(ISNUMBER(Datos!CW11),Datos!CW11," - ")</f>
        <v xml:space="preserve"> - </v>
      </c>
      <c r="AW11" s="271" t="str">
        <f>IF(ISNUMBER(Datos!EV11),Datos!EV11," - ")</f>
        <v xml:space="preserve"> - </v>
      </c>
      <c r="AX11" s="271">
        <f>IF(ISNUMBER(Datos!CX11)," - ",Datos!CX11)</f>
        <v>0</v>
      </c>
      <c r="AY11" s="271" t="str">
        <f>IF(ISNUMBER(Datos!ET11),Datos!ET11," - ")</f>
        <v xml:space="preserve"> - </v>
      </c>
      <c r="AZ11" s="1139" t="e">
        <f>(AY11/Datos!ER11)*factor_trimestre</f>
        <v>#VALUE!</v>
      </c>
      <c r="BF11" s="159">
        <f>Datos!BN11/factor_trimestre</f>
        <v>0</v>
      </c>
      <c r="BG11" s="159">
        <f>Datos!BO11/factor_trimestre</f>
        <v>0</v>
      </c>
      <c r="BH11" s="159">
        <f>Datos!BP11/factor_trimestre</f>
        <v>0</v>
      </c>
      <c r="BI11" s="159">
        <f>Datos!BQ11/factor_trimestre</f>
        <v>0</v>
      </c>
      <c r="BJ11" s="159">
        <f>Datos!BR11/factor_trimestre</f>
        <v>0</v>
      </c>
      <c r="BK11" s="159">
        <f>Datos!BS11/factor_trimestre</f>
        <v>0</v>
      </c>
      <c r="BL11" s="159">
        <f>Datos!BT11/factor_trimestre</f>
        <v>0</v>
      </c>
      <c r="BM11" s="159">
        <f>Datos!BU11/factor_trimestre</f>
        <v>0</v>
      </c>
    </row>
    <row r="12" spans="1:65" ht="14.25">
      <c r="A12" s="182">
        <f>Datos!AO12</f>
        <v>2</v>
      </c>
      <c r="B12" s="280" t="s">
        <v>273</v>
      </c>
      <c r="C12" s="7" t="str">
        <f>Datos!A12</f>
        <v xml:space="preserve">Jdos. 1ª Instª. e Instr.                        </v>
      </c>
      <c r="D12" s="7"/>
      <c r="E12" s="1205">
        <f>IF(ISNUMBER(Datos!AQ12),Datos!AQ12," - ")</f>
        <v>2</v>
      </c>
      <c r="F12" s="230" t="str">
        <f>IF(ISNUMBER(AA12+W12-I12-K12),AA12+W12-I12-K12," - ")</f>
        <v xml:space="preserve"> - </v>
      </c>
      <c r="G12" s="343" t="str">
        <f>IF(ISNUMBER(IF(J_V="SI",Datos!I12,Datos!I12+Datos!Y12)-IF(Monitorios="SI",Datos!CA12,0)),
                          IF(J_V="SI",Datos!I12,Datos!I12+Datos!Y12)-IF(Monitorios="SI",Datos!CA12,0),
                          " - ")</f>
        <v xml:space="preserve"> - </v>
      </c>
      <c r="H12" s="230" t="str">
        <f>IF(ISNUMBER(Datos!DB12),Datos!DB12," - ")</f>
        <v xml:space="preserve"> - </v>
      </c>
      <c r="I12" s="231" t="str">
        <f>IF(ISNUMBER(Datos!DC12),Datos!DC12," - ")</f>
        <v xml:space="preserve"> - </v>
      </c>
      <c r="J12" s="231" t="str">
        <f>IF(ISNUMBER(Datos!DD12),Datos!DD12," - ")</f>
        <v xml:space="preserve"> - </v>
      </c>
      <c r="K12" s="231">
        <f>IF(ISNUMBER(Datos!DF12),Datos!DF12,0)</f>
        <v>0</v>
      </c>
      <c r="L12" s="231">
        <f>IF(ISNUMBER(Datos!P12),Datos!P12,0)</f>
        <v>77</v>
      </c>
      <c r="M12" s="231" t="str">
        <f>IF(ISNUMBER(Datos!DE12),Datos!DE12," - ")</f>
        <v xml:space="preserve"> - </v>
      </c>
      <c r="N12" s="231" t="str">
        <f>IF(ISNUMBER(H12+L12),H12+L12," - ")</f>
        <v xml:space="preserve"> - </v>
      </c>
      <c r="O12" s="317" t="e">
        <f ca="1">IF(ISNUMBER(INDIRECT("N"&amp;ROW()+salto-1)),N12+(INDIRECT("N"&amp;ROW()+salto-1))/9.15,N12/9.15+(INDIRECT("N"&amp;ROW()-salto+1)))</f>
        <v>#VALUE!</v>
      </c>
      <c r="P12" s="347" t="str">
        <f>IF(ISNUMBER((N12)/((BF12+BG12)/2)),(N12)/((BF12+BG12)/2)," - ")</f>
        <v xml:space="preserve"> - </v>
      </c>
      <c r="Q12" s="347" t="str">
        <f>IF(jurisdiccion="Jurisdicción Civil y Penal",IF(ISNUMBER((O12)/((BL12+BM12)/2)),(O12)/((BL12+BM12)/2)," - "),IF(ISNUMBER((N12)/((BF12+BG12)/2)),(N12)/((BF12+BG12)/2)," - "))</f>
        <v xml:space="preserve"> - </v>
      </c>
      <c r="R12" s="232" t="str">
        <f>IF(ISNUMBER(Datos!CB12),Datos!CB12," - ")</f>
        <v xml:space="preserve"> - </v>
      </c>
      <c r="S12" s="230" t="str">
        <f>IF(ISNUMBER(Datos!BY12),Datos!BY12," - ")</f>
        <v xml:space="preserve"> - </v>
      </c>
      <c r="T12" s="347" t="str">
        <f>IF(ISNUMBER((S12*factor_trimestre)/DatosB!CN12),(S12*factor_trimestre)/DatosB!CN12,"-")</f>
        <v>-</v>
      </c>
      <c r="U12" s="146" t="e">
        <f ca="1">IF(ISNUMBER(INDIRECT("S"&amp;ROW()+salto-1)),S12+(INDIRECT("S"&amp;ROW()+salto-1)),S12+(INDIRECT("S"&amp;ROW()-salto+1)))</f>
        <v>#VALUE!</v>
      </c>
      <c r="V12" s="347" t="str">
        <f ca="1">IF(ISNUMBER((U12*factor_trimestre)/DatosB!CN12),(U12*factor_trimestre)/DatosB!CN12,"-")</f>
        <v>-</v>
      </c>
      <c r="W12" s="230" t="str">
        <f>IF(ISNUMBER(IF(J_V="SI",Datos!K12,Datos!K12+Datos!AA12)-IF(Monitorios="SI",Datos!CC12,0)),
                          IF(J_V="SI",Datos!K12,Datos!K12+Datos!AA12)-IF(Monitorios="SI",Datos!CC12,0),
                          " - ")</f>
        <v xml:space="preserve"> - </v>
      </c>
      <c r="X12" s="231">
        <f>IF(ISNUMBER(Datos!Q12),Datos!Q12," - ")</f>
        <v>33</v>
      </c>
      <c r="Y12" s="344">
        <f t="shared" si="0"/>
        <v>33</v>
      </c>
      <c r="Z12" s="345" t="str">
        <f>IF(ISNUMBER(Datos!CC12),Datos!CC12," - ")</f>
        <v xml:space="preserve"> - </v>
      </c>
      <c r="AA12" s="342" t="str">
        <f>IF(ISNUMBER(IF(J_V="SI",Datos!L12,Datos!L12+Datos!AB12)-IF(Monitorios="SI",Datos!CD12,0)),
                          IF(J_V="SI",Datos!L12,Datos!L12+Datos!AB12)-IF(Monitorios="SI",Datos!CD12,0),
                          " - ")</f>
        <v xml:space="preserve"> - </v>
      </c>
      <c r="AB12" s="344">
        <f>IF(ISNUMBER(Datos!R12),Datos!R12," - ")</f>
        <v>1356</v>
      </c>
      <c r="AC12" s="344" t="str">
        <f t="shared" si="1"/>
        <v xml:space="preserve"> - </v>
      </c>
      <c r="AD12" s="345" t="str">
        <f>IF(ISNUMBER(Datos!CD12),Datos!CD12," - ")</f>
        <v xml:space="preserve"> - </v>
      </c>
      <c r="AE12" s="234" t="str">
        <f>IF(ISNUMBER(Datos!BV12),Datos!BV12," - ")</f>
        <v xml:space="preserve"> - </v>
      </c>
      <c r="AF12" s="230" t="str">
        <f>IF(ISNUMBER(Datos!CK12),Datos!CK12," - ")</f>
        <v xml:space="preserve"> - </v>
      </c>
      <c r="AG12" s="303" t="str">
        <f>IF(ISNUMBER(Datos!CL12),Datos!CL12," - ")</f>
        <v xml:space="preserve"> - </v>
      </c>
      <c r="AH12" s="232" t="str">
        <f>IF(ISNUMBER(Datos!CM12),Datos!CM12," - ")</f>
        <v xml:space="preserve"> - </v>
      </c>
      <c r="AI12" s="230">
        <f>IF(ISNUMBER(Datos!M12),Datos!M12," - ")</f>
        <v>83</v>
      </c>
      <c r="AJ12" s="234" t="str">
        <f>IF(ISNUMBER(Datos!BW12),Datos!BW12," - ")</f>
        <v xml:space="preserve"> - </v>
      </c>
      <c r="AK12" s="233" t="str">
        <f>IF(ISNUMBER(Datos!BX12),Datos!BX12," - ")</f>
        <v xml:space="preserve"> - </v>
      </c>
      <c r="AL12" s="248">
        <f>IF(ISNUMBER(NºAsuntos!G12/NºAsuntos!E12),NºAsuntos!G12/NºAsuntos!E12," - ")</f>
        <v>0.88450704225352117</v>
      </c>
      <c r="AM12" s="265">
        <f>IF(ISNUMBER(((NºAsuntos!I12/NºAsuntos!G12)*11)/factor_trimestre),((NºAsuntos!I12/NºAsuntos!G12)*11)/factor_trimestre," - ")</f>
        <v>10.280254777070065</v>
      </c>
      <c r="AN12" s="249">
        <f>IF(ISNUMBER('Resol  Asuntos'!D12/NºAsuntos!G12),'Resol  Asuntos'!D12/NºAsuntos!G12," - ")</f>
        <v>0.2643312101910828</v>
      </c>
      <c r="AO12" s="250">
        <f>IF(ISNUMBER((NºAsuntos!C12+NºAsuntos!E12)/NºAsuntos!G12),(NºAsuntos!C12+NºAsuntos!E12)/NºAsuntos!G12," - ")</f>
        <v>4.4267515923566876</v>
      </c>
      <c r="AP12" s="235" t="str">
        <f t="shared" si="2"/>
        <v xml:space="preserve"> - </v>
      </c>
      <c r="AQ12" s="235" t="str">
        <f>IF(ISNUMBER((I12-W12+K12)/(F12)),(I12-W12+K12)/(F12)," - ")</f>
        <v xml:space="preserve"> - </v>
      </c>
      <c r="AR12" s="309" t="str">
        <f>IF(ISNUMBER((Datos!P12-Datos!Q12+M12)/(Datos!R12-Datos!P12+Datos!Q12-M12)),(Datos!P12-Datos!Q12+M12)/(Datos!R12-Datos!P12+Datos!Q12-M12)," - ")</f>
        <v xml:space="preserve"> - </v>
      </c>
      <c r="AS12" s="271" t="str">
        <f>IF(ISNUMBER(Datos!CS12),Datos!CS12," - ")</f>
        <v xml:space="preserve"> - </v>
      </c>
      <c r="AT12" s="271" t="str">
        <f>IF(ISNUMBER(Datos!CI12),Datos!CI12," - ")</f>
        <v xml:space="preserve"> - </v>
      </c>
      <c r="AU12" s="271" t="str">
        <f>IF(ISNUMBER(Datos!CJ12),Datos!CJ12," - ")</f>
        <v xml:space="preserve"> - </v>
      </c>
      <c r="AV12" s="271" t="str">
        <f>IF(ISNUMBER(Datos!CW12),Datos!CW12," - ")</f>
        <v xml:space="preserve"> - </v>
      </c>
      <c r="AW12" s="271" t="str">
        <f>IF(ISNUMBER(Datos!EV12),Datos!EV12," - ")</f>
        <v xml:space="preserve"> - </v>
      </c>
      <c r="AX12" s="271">
        <f>IF(ISNUMBER(Datos!CX12)," - ",Datos!CX12)</f>
        <v>0</v>
      </c>
      <c r="AY12" s="271" t="str">
        <f>IF(ISNUMBER(Datos!ET12),Datos!ET12," - ")</f>
        <v xml:space="preserve"> - </v>
      </c>
      <c r="AZ12" s="1139" t="e">
        <f>(AY12/Datos!ER12)*factor_trimestre</f>
        <v>#VALUE!</v>
      </c>
      <c r="BF12" s="159">
        <f>Datos!BN12/factor_trimestre</f>
        <v>0</v>
      </c>
      <c r="BG12" s="159">
        <f>Datos!BO12/factor_trimestre</f>
        <v>0</v>
      </c>
      <c r="BH12" s="159">
        <f>Datos!BP12/factor_trimestre</f>
        <v>0</v>
      </c>
      <c r="BI12" s="159">
        <f>Datos!BQ12/factor_trimestre</f>
        <v>0</v>
      </c>
      <c r="BJ12" s="159">
        <f>Datos!BR12/factor_trimestre</f>
        <v>0</v>
      </c>
      <c r="BK12" s="159">
        <f>Datos!BS12/factor_trimestre</f>
        <v>0</v>
      </c>
      <c r="BL12" s="159">
        <f>Datos!BT12/factor_trimestre</f>
        <v>0</v>
      </c>
      <c r="BM12" s="159">
        <f>Datos!BU12/factor_trimestre</f>
        <v>0</v>
      </c>
    </row>
    <row r="13" spans="1:65" ht="15" thickBot="1">
      <c r="A13" s="182">
        <f>Datos!AO13</f>
        <v>0</v>
      </c>
      <c r="B13" s="280" t="s">
        <v>273</v>
      </c>
      <c r="C13" s="7" t="str">
        <f>Datos!A13</f>
        <v xml:space="preserve">Jdos. de Menores    </v>
      </c>
      <c r="D13" s="7"/>
      <c r="E13" s="1205">
        <f>IF(ISNUMBER(Datos!AQ13),Datos!AQ13," - ")</f>
        <v>0</v>
      </c>
      <c r="F13" s="230" t="str">
        <f>IF(ISNUMBER(Datos!L13+Datos!K13-Datos!J13-K13),Datos!L13+Datos!K13-Datos!J13-K13," - ")</f>
        <v xml:space="preserve"> - </v>
      </c>
      <c r="G13" s="343" t="str">
        <f>IF(ISNUMBER(Datos!I13),Datos!I13," - ")</f>
        <v xml:space="preserve"> - </v>
      </c>
      <c r="H13" s="230" t="str">
        <f>IF(ISNUMBER(Datos!DB13),Datos!DB13," - ")</f>
        <v xml:space="preserve"> - </v>
      </c>
      <c r="I13" s="231" t="str">
        <f>IF(ISNUMBER(Datos!DC13),Datos!DC13," - ")</f>
        <v xml:space="preserve"> - </v>
      </c>
      <c r="J13" s="231" t="str">
        <f>IF(ISNUMBER(Datos!DD13),Datos!DD13," - ")</f>
        <v xml:space="preserve"> - </v>
      </c>
      <c r="K13" s="231">
        <f>IF(ISNUMBER(Datos!DF13),Datos!DF13,0)</f>
        <v>0</v>
      </c>
      <c r="L13" s="231">
        <f>IF(ISNUMBER(Datos!P13),Datos!P13,0)</f>
        <v>0</v>
      </c>
      <c r="M13" s="231" t="str">
        <f>IF(ISNUMBER(Datos!DE13),Datos!DE13," - ")</f>
        <v xml:space="preserve"> - </v>
      </c>
      <c r="N13" s="231" t="str">
        <f>IF(ISNUMBER(H13+L13),H13+L13," - ")</f>
        <v xml:space="preserve"> - </v>
      </c>
      <c r="O13" s="344"/>
      <c r="P13" s="347" t="str">
        <f t="shared" ref="P13" si="3">IF(ISNUMBER((N13)/((BL13+BM13)/2)),(N13)/((BL13+BM13)/2)," - ")</f>
        <v xml:space="preserve"> - </v>
      </c>
      <c r="Q13" s="347" t="str">
        <f>IF(ISNUMBER((N13)/((BL13+BM13)/2)),(N13)/((BL13+BM13)/2)," - ")</f>
        <v xml:space="preserve"> - </v>
      </c>
      <c r="R13" s="232" t="str">
        <f>IF(ISNUMBER(Datos!CB13),Datos!CB13," - ")</f>
        <v xml:space="preserve"> - </v>
      </c>
      <c r="S13" s="230" t="str">
        <f>IF(ISNUMBER(Datos!BY13),Datos!BY13," - ")</f>
        <v xml:space="preserve"> - </v>
      </c>
      <c r="T13" s="347" t="str">
        <f>IF(ISNUMBER((S13*factor_trimestre)/DatosB!CN13),(S13*factor_trimestre)/DatosB!CN13,"-")</f>
        <v>-</v>
      </c>
      <c r="U13" s="303"/>
      <c r="V13" s="347">
        <f>IF(ISNUMBER((U13*factor_trimestre)/DatosB!CN13),(U13*factor_trimestre)/DatosB!CN13,"-")</f>
        <v>0</v>
      </c>
      <c r="W13" s="230" t="str">
        <f>IF(ISNUMBER(Datos!K13),Datos!K13," - ")</f>
        <v xml:space="preserve"> - </v>
      </c>
      <c r="X13" s="231" t="str">
        <f>IF(ISNUMBER(Datos!Q13),Datos!Q13," - ")</f>
        <v xml:space="preserve"> - </v>
      </c>
      <c r="Y13" s="344">
        <f t="shared" si="0"/>
        <v>0</v>
      </c>
      <c r="Z13" s="345" t="str">
        <f>IF(ISNUMBER(Datos!CC13),Datos!CC13," - ")</f>
        <v xml:space="preserve"> - </v>
      </c>
      <c r="AA13" s="342" t="str">
        <f>IF(ISNUMBER(Datos!L13),Datos!L13,"-")</f>
        <v>-</v>
      </c>
      <c r="AB13" s="344" t="str">
        <f>IF(ISNUMBER(Datos!R13),Datos!R13," - ")</f>
        <v xml:space="preserve"> - </v>
      </c>
      <c r="AC13" s="344" t="str">
        <f t="shared" si="1"/>
        <v xml:space="preserve"> - </v>
      </c>
      <c r="AD13" s="345" t="str">
        <f>IF(ISNUMBER(Datos!CD13),Datos!CD13," - ")</f>
        <v xml:space="preserve"> - </v>
      </c>
      <c r="AE13" s="234" t="str">
        <f>IF(ISNUMBER(Datos!BV13),Datos!BV13," - ")</f>
        <v xml:space="preserve"> - </v>
      </c>
      <c r="AF13" s="230" t="str">
        <f>IF(ISNUMBER(Datos!CK13),Datos!CK13," - ")</f>
        <v xml:space="preserve"> - </v>
      </c>
      <c r="AG13" s="303" t="str">
        <f>IF(ISNUMBER(Datos!CL13),Datos!CL13," - ")</f>
        <v xml:space="preserve"> - </v>
      </c>
      <c r="AH13" s="232" t="str">
        <f>IF(ISNUMBER(Datos!CM13),Datos!CM13," - ")</f>
        <v xml:space="preserve"> - </v>
      </c>
      <c r="AI13" s="230" t="str">
        <f>IF(ISNUMBER(Datos!M13),Datos!M13," - ")</f>
        <v xml:space="preserve"> - </v>
      </c>
      <c r="AJ13" s="236" t="str">
        <f>IF(ISNUMBER(Datos!BW13),Datos!BW13," - ")</f>
        <v xml:space="preserve"> - </v>
      </c>
      <c r="AK13" s="237" t="str">
        <f>IF(ISNUMBER(Datos!BX13),Datos!BX13," - ")</f>
        <v xml:space="preserve"> - </v>
      </c>
      <c r="AL13" s="248" t="str">
        <f>IF(ISNUMBER(NºAsuntos!G13/NºAsuntos!E13),NºAsuntos!G13/NºAsuntos!E13," - ")</f>
        <v xml:space="preserve"> - </v>
      </c>
      <c r="AM13" s="265" t="str">
        <f>IF(ISNUMBER(((NºAsuntos!I13/NºAsuntos!G13)*11)/factor_trimestre),((NºAsuntos!I13/NºAsuntos!G13)*11)/factor_trimestre," - ")</f>
        <v xml:space="preserve"> - </v>
      </c>
      <c r="AN13" s="249" t="str">
        <f>IF(ISNUMBER('Resol  Asuntos'!D13/NºAsuntos!G13),'Resol  Asuntos'!D13/NºAsuntos!G13," - ")</f>
        <v xml:space="preserve"> - </v>
      </c>
      <c r="AO13" s="250" t="str">
        <f>IF(ISNUMBER((NºAsuntos!C13+NºAsuntos!E13)/NºAsuntos!G13),(NºAsuntos!C13+NºAsuntos!E13)/NºAsuntos!G13," - ")</f>
        <v xml:space="preserve"> - </v>
      </c>
      <c r="AP13" s="235" t="str">
        <f t="shared" si="2"/>
        <v xml:space="preserve"> - </v>
      </c>
      <c r="AQ13" s="235" t="str">
        <f t="shared" ref="AQ13" si="4">IF(ISNUMBER((H13-W13+K13)/(F13)),(H13-W13+K13)/(F13)," - ")</f>
        <v xml:space="preserve"> - </v>
      </c>
      <c r="AR13" s="309" t="str">
        <f>IF(ISNUMBER((Datos!P13-Datos!Q13+M13)/(Datos!R13-Datos!P13+Datos!Q13-M13)),(Datos!P13-Datos!Q13+M13)/(Datos!R13-Datos!P13+Datos!Q13-M13)," - ")</f>
        <v xml:space="preserve"> - </v>
      </c>
      <c r="AS13" s="271" t="str">
        <f>IF(ISNUMBER(Datos!CS13),Datos!CS13," - ")</f>
        <v xml:space="preserve"> - </v>
      </c>
      <c r="AT13" s="271" t="str">
        <f>IF(ISNUMBER(Datos!CI13),Datos!CI13," - ")</f>
        <v xml:space="preserve"> - </v>
      </c>
      <c r="AU13" s="271" t="str">
        <f>IF(ISNUMBER(Datos!CJ13),Datos!CJ13," - ")</f>
        <v xml:space="preserve"> - </v>
      </c>
      <c r="AV13" s="271" t="str">
        <f>IF(ISNUMBER(Datos!CW13),Datos!CW13," - ")</f>
        <v xml:space="preserve"> - </v>
      </c>
      <c r="AW13" s="271" t="str">
        <f>IF(ISNUMBER(Datos!EV13),Datos!EV13," - ")</f>
        <v xml:space="preserve"> - </v>
      </c>
      <c r="AX13" s="271">
        <f>IF(ISNUMBER(Datos!CX13)," - ",Datos!CX13)</f>
        <v>0</v>
      </c>
      <c r="AY13" s="271" t="str">
        <f>IF(ISNUMBER(Datos!EO13),Datos!EO13," - ")</f>
        <v xml:space="preserve"> - </v>
      </c>
      <c r="AZ13" s="1139" t="e">
        <f>(AY13/Datos!ER13)*factor_trimestre</f>
        <v>#VALUE!</v>
      </c>
      <c r="BF13" s="159">
        <f>Datos!BN13/factor_trimestre</f>
        <v>0</v>
      </c>
      <c r="BG13" s="159">
        <f>Datos!BO13/factor_trimestre</f>
        <v>0</v>
      </c>
      <c r="BH13" s="159">
        <f>Datos!BP13/factor_trimestre</f>
        <v>0</v>
      </c>
      <c r="BI13" s="159">
        <f>Datos!BQ13/factor_trimestre</f>
        <v>0</v>
      </c>
      <c r="BJ13" s="159">
        <f>Datos!BR13/factor_trimestre</f>
        <v>0</v>
      </c>
      <c r="BK13" s="159">
        <f>Datos!BS13/factor_trimestre</f>
        <v>0</v>
      </c>
      <c r="BL13" s="159">
        <f>Datos!BT13/factor_trimestre</f>
        <v>0</v>
      </c>
      <c r="BM13" s="159">
        <f>Datos!BU13/factor_trimestre</f>
        <v>0</v>
      </c>
    </row>
    <row r="14" spans="1:65" ht="15.75" thickTop="1" thickBot="1">
      <c r="A14" s="183"/>
      <c r="B14" s="183"/>
      <c r="C14" s="1010" t="str">
        <f>Datos!A14</f>
        <v>TOTAL</v>
      </c>
      <c r="D14" s="1010"/>
      <c r="E14" s="1330">
        <f t="shared" ref="E14:O14" si="5">SUBTOTAL(9,E8:E13)</f>
        <v>2</v>
      </c>
      <c r="F14" s="1012">
        <f t="shared" si="5"/>
        <v>1</v>
      </c>
      <c r="G14" s="1013">
        <f t="shared" si="5"/>
        <v>1</v>
      </c>
      <c r="H14" s="1012">
        <f t="shared" si="5"/>
        <v>0</v>
      </c>
      <c r="I14" s="1014">
        <f t="shared" si="5"/>
        <v>0</v>
      </c>
      <c r="J14" s="1014">
        <f t="shared" si="5"/>
        <v>0</v>
      </c>
      <c r="K14" s="1014">
        <f t="shared" si="5"/>
        <v>0</v>
      </c>
      <c r="L14" s="1014">
        <f t="shared" si="5"/>
        <v>77</v>
      </c>
      <c r="M14" s="1014">
        <f t="shared" si="5"/>
        <v>0</v>
      </c>
      <c r="N14" s="1014">
        <f t="shared" si="5"/>
        <v>0</v>
      </c>
      <c r="O14" s="1015" t="e">
        <f t="shared" ca="1" si="5"/>
        <v>#VALUE!</v>
      </c>
      <c r="P14" s="1015"/>
      <c r="Q14" s="1016" t="str">
        <f>IF(ISNUMBER((N14*factor_trimestre)/((Datos!BT14+Datos!BU14)/2)),(N14*factor_trimestre)/((Datos!BT14+Datos!BU14)/2)," - ")</f>
        <v xml:space="preserve"> - </v>
      </c>
      <c r="R14" s="1017">
        <f>SUBTOTAL(9,R8:R13)</f>
        <v>0</v>
      </c>
      <c r="S14" s="1012">
        <f>SUBTOTAL(9,S8:S13)</f>
        <v>0</v>
      </c>
      <c r="T14" s="1018" t="str">
        <f>IF(ISNUMBER((S14*factor_trimestre)/DatosB!BM14),(S14*factor_trimestre)/DatosB!BM14,"-")</f>
        <v>-</v>
      </c>
      <c r="U14" s="1012" t="e">
        <f ca="1">SUBTOTAL(9,U8:U13)</f>
        <v>#VALUE!</v>
      </c>
      <c r="V14" s="1018" t="str">
        <f ca="1">IF(ISNUMBER((U14*factor_trimestre)/DatosB!CN14),(U14*factor_trimestre)/DatosB!CN14,"-")</f>
        <v>-</v>
      </c>
      <c r="W14" s="1014">
        <f t="shared" ref="W14:AJ14" si="6">SUBTOTAL(9,W8:W13)</f>
        <v>1</v>
      </c>
      <c r="X14" s="1014">
        <f t="shared" si="6"/>
        <v>33</v>
      </c>
      <c r="Y14" s="1015">
        <f t="shared" si="6"/>
        <v>34</v>
      </c>
      <c r="Z14" s="1015">
        <f t="shared" si="6"/>
        <v>0</v>
      </c>
      <c r="AA14" s="1015">
        <f t="shared" si="6"/>
        <v>2</v>
      </c>
      <c r="AB14" s="1015">
        <f t="shared" si="6"/>
        <v>1363</v>
      </c>
      <c r="AC14" s="1015">
        <f t="shared" si="6"/>
        <v>9</v>
      </c>
      <c r="AD14" s="1015">
        <f t="shared" si="6"/>
        <v>0</v>
      </c>
      <c r="AE14" s="1019">
        <f t="shared" si="6"/>
        <v>0</v>
      </c>
      <c r="AF14" s="1012">
        <f t="shared" si="6"/>
        <v>0</v>
      </c>
      <c r="AG14" s="1020">
        <f t="shared" si="6"/>
        <v>0</v>
      </c>
      <c r="AH14" s="1017">
        <f t="shared" si="6"/>
        <v>0</v>
      </c>
      <c r="AI14" s="1012">
        <f t="shared" si="6"/>
        <v>84</v>
      </c>
      <c r="AJ14" s="1014">
        <f t="shared" si="6"/>
        <v>0</v>
      </c>
      <c r="AK14" s="1017">
        <f>SUBTOTAL(9,AK9:AK13)</f>
        <v>0</v>
      </c>
      <c r="AL14" s="1021">
        <f>IF(ISNUMBER(NºAsuntos!G14/NºAsuntos!E14),NºAsuntos!G14/NºAsuntos!E14," - ")</f>
        <v>0.88235294117647056</v>
      </c>
      <c r="AM14" s="1021">
        <f>IF(ISNUMBER(((NºAsuntos!I14/NºAsuntos!G14)*11)/factor_trimestre),((NºAsuntos!I14/NºAsuntos!G14)*11)/factor_trimestre," - ")</f>
        <v>10.266666666666667</v>
      </c>
      <c r="AN14" s="1022">
        <f>IF(ISNUMBER('Resol  Asuntos'!D14/NºAsuntos!G14),'Resol  Asuntos'!D14/NºAsuntos!G14," - ")</f>
        <v>0.26666666666666666</v>
      </c>
      <c r="AO14" s="1023">
        <f>IF(ISNUMBER((NºAsuntos!C14+NºAsuntos!E14)/NºAsuntos!G14),(NºAsuntos!C14+NºAsuntos!E14)/NºAsuntos!G14," - ")</f>
        <v>4.4222222222222225</v>
      </c>
      <c r="AP14" s="1024" t="str">
        <f t="shared" si="2"/>
        <v xml:space="preserve"> - </v>
      </c>
      <c r="AQ14" s="1024">
        <f>IF(ISNUMBER((H14-W14+K14)/(F14)),(H14-W14+K14)/(F14)," - ")</f>
        <v>-1</v>
      </c>
      <c r="AR14" s="1025">
        <f>IF(ISNUMBER((Datos!P14-Datos!Q14)/(Datos!R14-Datos!P14+Datos!Q14)),(Datos!P14-Datos!Q14)/(Datos!R14-Datos!P14+Datos!Q14)," - ")</f>
        <v>3.3358605003790752E-2</v>
      </c>
      <c r="AS14" s="1011">
        <f>SUBTOTAL(9,AS8:AS13)</f>
        <v>0</v>
      </c>
      <c r="AT14" s="1011">
        <f>SUBTOTAL(9,AT8:AT13)</f>
        <v>0</v>
      </c>
      <c r="AU14" s="1011">
        <f>SUBTOTAL(9,AU8:AU13)</f>
        <v>0</v>
      </c>
      <c r="AV14" s="1011">
        <f>SUBTOTAL(9,AV8:AV13)</f>
        <v>0</v>
      </c>
      <c r="AW14" s="1011">
        <f>SUBTOTAL(9,AW8:AW13)</f>
        <v>0</v>
      </c>
      <c r="AX14" s="1026"/>
      <c r="AY14" s="1014">
        <f>SUBTOTAL(9,AY8:AY13)</f>
        <v>0</v>
      </c>
      <c r="AZ14" s="1140" t="e">
        <f>SUBTOTAL(9,AZ8:AZ13)</f>
        <v>#VALUE!</v>
      </c>
      <c r="BF14" s="156">
        <f t="shared" ref="BF14:BM14" si="7">SUM(BF8:BF13)</f>
        <v>0</v>
      </c>
      <c r="BG14" s="156">
        <f t="shared" si="7"/>
        <v>0</v>
      </c>
      <c r="BH14" s="156">
        <f t="shared" si="7"/>
        <v>0</v>
      </c>
      <c r="BI14" s="156">
        <f t="shared" si="7"/>
        <v>0</v>
      </c>
      <c r="BJ14" s="156">
        <f t="shared" si="7"/>
        <v>0</v>
      </c>
      <c r="BK14" s="156">
        <f t="shared" si="7"/>
        <v>0</v>
      </c>
      <c r="BL14" s="156">
        <f t="shared" si="7"/>
        <v>0</v>
      </c>
      <c r="BM14" s="156">
        <f t="shared" si="7"/>
        <v>0</v>
      </c>
    </row>
    <row r="15" spans="1:65" ht="15" thickTop="1">
      <c r="A15" s="184"/>
      <c r="B15" s="184"/>
      <c r="C15" s="291" t="str">
        <f>Datos!A15</f>
        <v xml:space="preserve">Jurisdicción Penal ( 2 ):                      </v>
      </c>
      <c r="D15" s="291"/>
      <c r="E15" s="292"/>
      <c r="F15" s="239"/>
      <c r="G15" s="239"/>
      <c r="H15" s="221"/>
      <c r="I15" s="222"/>
      <c r="J15" s="222"/>
      <c r="K15" s="222"/>
      <c r="L15" s="222"/>
      <c r="M15" s="222"/>
      <c r="N15" s="222"/>
      <c r="O15" s="222"/>
      <c r="P15" s="222"/>
      <c r="Q15" s="354"/>
      <c r="R15" s="222"/>
      <c r="S15" s="273"/>
      <c r="T15" s="354"/>
      <c r="U15" s="286"/>
      <c r="V15" s="355"/>
      <c r="W15" s="221"/>
      <c r="X15" s="222"/>
      <c r="Y15" s="222"/>
      <c r="Z15" s="222"/>
      <c r="AA15" s="221"/>
      <c r="AB15" s="222"/>
      <c r="AC15" s="222"/>
      <c r="AD15" s="222"/>
      <c r="AE15" s="346"/>
      <c r="AF15" s="239"/>
      <c r="AG15" s="240"/>
      <c r="AH15" s="241"/>
      <c r="AI15" s="239"/>
      <c r="AJ15" s="239"/>
      <c r="AK15" s="241"/>
      <c r="AL15" s="273"/>
      <c r="AM15" s="286"/>
      <c r="AN15" s="286"/>
      <c r="AO15" s="243"/>
      <c r="AP15" s="292"/>
      <c r="AQ15" s="292"/>
      <c r="AR15" s="310"/>
      <c r="AS15" s="314"/>
      <c r="AT15" s="292"/>
      <c r="AU15" s="292"/>
      <c r="AV15" s="292"/>
      <c r="AW15" s="292"/>
      <c r="AX15" s="305"/>
      <c r="AY15" s="305"/>
      <c r="AZ15" s="1141"/>
      <c r="BF15" s="157"/>
      <c r="BG15" s="157"/>
      <c r="BH15" s="157"/>
      <c r="BI15" s="157"/>
      <c r="BJ15" s="157"/>
      <c r="BK15" s="157"/>
      <c r="BL15" s="157"/>
      <c r="BM15" s="157"/>
    </row>
    <row r="16" spans="1:65" ht="14.25">
      <c r="A16" s="182">
        <f>Datos!AO16</f>
        <v>0</v>
      </c>
      <c r="B16" s="280" t="s">
        <v>437</v>
      </c>
      <c r="C16" s="165" t="str">
        <f>Datos!A16</f>
        <v xml:space="preserve">Jdos. Instrucción                               </v>
      </c>
      <c r="D16" s="165"/>
      <c r="E16" s="1205">
        <f>IF(ISNUMBER(Datos!AQ16),Datos!AQ16," - ")</f>
        <v>0</v>
      </c>
      <c r="F16" s="230" t="str">
        <f>IF(ISNUMBER(AA16+W16-Datos!J16-K16),AA16+W16-Datos!J16-K16," - ")</f>
        <v xml:space="preserve"> - </v>
      </c>
      <c r="G16" s="343" t="str">
        <f>IF(ISNUMBER(IF(D_I="SI",Datos!I16,Datos!I16+Datos!AC16)),IF(D_I="SI",Datos!I16,Datos!I16+Datos!AC16)," - ")</f>
        <v xml:space="preserve"> - </v>
      </c>
      <c r="H16" s="230" t="str">
        <f>IF(ISNUMBER(Datos!DB16),Datos!DB16," - ")</f>
        <v xml:space="preserve"> - </v>
      </c>
      <c r="I16" s="231" t="str">
        <f>IF(ISNUMBER(Datos!DC16),Datos!DC16," - ")</f>
        <v xml:space="preserve"> - </v>
      </c>
      <c r="J16" s="231" t="str">
        <f>IF(ISNUMBER(Datos!DD16),Datos!DD16," - ")</f>
        <v xml:space="preserve"> - </v>
      </c>
      <c r="K16" s="231">
        <f>IF(ISNUMBER(Datos!DF16),Datos!DF16,0)</f>
        <v>0</v>
      </c>
      <c r="L16" s="231">
        <f>IF(ISNUMBER(Datos!P16),Datos!P16,0)</f>
        <v>0</v>
      </c>
      <c r="M16" s="231" t="str">
        <f>IF(ISNUMBER(Datos!DE16),Datos!DE16," - ")</f>
        <v xml:space="preserve"> - </v>
      </c>
      <c r="N16" s="231" t="str">
        <f>IF(ISNUMBER(H16),H16," - ")</f>
        <v xml:space="preserve"> - </v>
      </c>
      <c r="O16" s="344"/>
      <c r="P16" s="347" t="str">
        <f>IF(ISNUMBER((N16)/((BL16+BM16)/2)),(N16)/((BL16+BM16)/2)," - ")</f>
        <v xml:space="preserve"> - </v>
      </c>
      <c r="Q16" s="347" t="str">
        <f>IF(ISNUMBER((N16)/((BL16+BM16)/2)),(N16)/((BL16+BM16)/2)," - ")</f>
        <v xml:space="preserve"> - </v>
      </c>
      <c r="R16" s="232" t="str">
        <f>IF(ISNUMBER(Datos!CB16),Datos!CB16," - ")</f>
        <v xml:space="preserve"> - </v>
      </c>
      <c r="S16" s="230">
        <f>IF(ISNUMBER(Datos!BY16+Datos!BZ16*1.16),Datos!BY16+Datos!BZ16*1.16," - ")</f>
        <v>0</v>
      </c>
      <c r="T16" s="347">
        <f>IF(ISNUMBER((S16*factor_trimestre)/DatosB!CN16),(S16*factor_trimestre)/DatosB!CN16,"-")</f>
        <v>0</v>
      </c>
      <c r="U16" s="303"/>
      <c r="V16" s="347">
        <f>IF(ISNUMBER((U16*factor_trimestre)/DatosB!CN16),(U16*factor_trimestre)/DatosB!CN16,"-")</f>
        <v>0</v>
      </c>
      <c r="W16" s="230" t="str">
        <f>IF(ISNUMBER(IF(D_I="SI",Datos!K16,Datos!K16+Datos!AE16)),IF(D_I="SI",Datos!K16,Datos!K16+Datos!AE16)," - ")</f>
        <v xml:space="preserve"> - </v>
      </c>
      <c r="X16" s="231" t="str">
        <f>IF(ISNUMBER(Datos!Q16),Datos!Q16," - ")</f>
        <v xml:space="preserve"> - </v>
      </c>
      <c r="Y16" s="344">
        <f>SUM(W16)</f>
        <v>0</v>
      </c>
      <c r="Z16" s="345" t="str">
        <f>IF(ISNUMBER(Datos!CC16),Datos!CC16," - ")</f>
        <v xml:space="preserve"> - </v>
      </c>
      <c r="AA16" s="342" t="str">
        <f>IF(ISNUMBER(IF(D_I="SI",Datos!L16,Datos!L16+Datos!AF16)),IF(D_I="SI",Datos!L16,Datos!L16+Datos!AF16)," - ")</f>
        <v xml:space="preserve"> - </v>
      </c>
      <c r="AB16" s="344" t="str">
        <f>IF(ISNUMBER(Datos!R16),Datos!R16," - ")</f>
        <v xml:space="preserve"> - </v>
      </c>
      <c r="AC16" s="344" t="str">
        <f t="shared" ref="AC16:AC19" si="8">IF(ISNUMBER(AA16+AB16),AA16+AB16," - ")</f>
        <v xml:space="preserve"> - </v>
      </c>
      <c r="AD16" s="345" t="str">
        <f>IF(ISNUMBER(Datos!CD16),Datos!CD16," - ")</f>
        <v xml:space="preserve"> - </v>
      </c>
      <c r="AE16" s="234" t="str">
        <f>IF(ISNUMBER(Datos!BV16),Datos!BV16," - ")</f>
        <v xml:space="preserve"> - </v>
      </c>
      <c r="AF16" s="230" t="str">
        <f>IF(ISNUMBER(Datos!CK16),Datos!CK16," - ")</f>
        <v xml:space="preserve"> - </v>
      </c>
      <c r="AG16" s="303" t="str">
        <f>IF(ISNUMBER(Datos!CL16),Datos!CL16," - ")</f>
        <v xml:space="preserve"> - </v>
      </c>
      <c r="AH16" s="232" t="str">
        <f>IF(ISNUMBER(Datos!CM16),Datos!CM16," - ")</f>
        <v xml:space="preserve"> - </v>
      </c>
      <c r="AI16" s="230" t="str">
        <f>IF(ISNUMBER(Datos!M16),Datos!M16," - ")</f>
        <v xml:space="preserve"> - </v>
      </c>
      <c r="AJ16" s="236" t="str">
        <f>IF(ISNUMBER(Datos!BW16),Datos!BW16," - ")</f>
        <v xml:space="preserve"> - </v>
      </c>
      <c r="AK16" s="237" t="str">
        <f>IF(ISNUMBER(Datos!BX16),Datos!BX16," - ")</f>
        <v xml:space="preserve"> - </v>
      </c>
      <c r="AL16" s="248" t="str">
        <f>IF(ISNUMBER(NºAsuntos!G16/NºAsuntos!E16),NºAsuntos!G16/NºAsuntos!E16," - ")</f>
        <v xml:space="preserve"> - </v>
      </c>
      <c r="AM16" s="265" t="str">
        <f>IF(ISNUMBER(((NºAsuntos!I16/NºAsuntos!G16)*11)/factor_trimestre),((NºAsuntos!I16/NºAsuntos!G16)*11)/factor_trimestre," - ")</f>
        <v xml:space="preserve"> - </v>
      </c>
      <c r="AN16" s="249" t="str">
        <f>IF(ISNUMBER('Resol  Asuntos'!D16/NºAsuntos!G16),'Resol  Asuntos'!D16/NºAsuntos!G16," - ")</f>
        <v xml:space="preserve"> - </v>
      </c>
      <c r="AO16" s="250" t="str">
        <f>IF(ISNUMBER((NºAsuntos!C16+NºAsuntos!E16)/NºAsuntos!G16),(NºAsuntos!C16+NºAsuntos!E16)/NºAsuntos!G16," - ")</f>
        <v xml:space="preserve"> - </v>
      </c>
      <c r="AP16" s="235" t="str">
        <f t="shared" si="2"/>
        <v xml:space="preserve"> - </v>
      </c>
      <c r="AQ16" s="235" t="str">
        <f>IF(ISNUMBER((I16-W16+K16)/(F16)),(I16-W16+K16)/(F16)," - ")</f>
        <v xml:space="preserve"> - </v>
      </c>
      <c r="AR16" s="309" t="str">
        <f>IF(ISNUMBER((Datos!P16-Datos!Q16+M16)/(Datos!R16-Datos!P16+Datos!Q16-M16)),(Datos!P16-Datos!Q16+M16)/(Datos!R16-Datos!P16+Datos!Q16-M16)," - ")</f>
        <v xml:space="preserve"> - </v>
      </c>
      <c r="AS16" s="271" t="str">
        <f>IF(ISNUMBER(Datos!CS16),Datos!CS16," - ")</f>
        <v xml:space="preserve"> - </v>
      </c>
      <c r="AT16" s="271" t="str">
        <f>IF(ISNUMBER(Datos!CI16),Datos!CI16," - ")</f>
        <v xml:space="preserve"> - </v>
      </c>
      <c r="AU16" s="271" t="str">
        <f>IF(ISNUMBER(Datos!CJ16),Datos!CJ16," - ")</f>
        <v xml:space="preserve"> - </v>
      </c>
      <c r="AV16" s="271" t="str">
        <f>IF(ISNUMBER(Datos!CW16),Datos!CW16," - ")</f>
        <v xml:space="preserve"> - </v>
      </c>
      <c r="AW16" s="271" t="str">
        <f>IF(ISNUMBER(Datos!EV16),Datos!EV16," - ")</f>
        <v xml:space="preserve"> - </v>
      </c>
      <c r="AX16" s="271">
        <f>IF(ISNUMBER(Datos!CX16)," - ",Datos!CX16)</f>
        <v>0</v>
      </c>
      <c r="AY16" s="271" t="str">
        <f>IF(ISNUMBER(Datos!ET16),Datos!ET16," - ")</f>
        <v xml:space="preserve"> - </v>
      </c>
      <c r="AZ16" s="1139" t="e">
        <f>(AY16/Datos!ER16)*factor_trimestre</f>
        <v>#VALUE!</v>
      </c>
      <c r="BF16" s="159">
        <f>Datos!BN16/factor_trimestre</f>
        <v>0</v>
      </c>
      <c r="BG16" s="159">
        <f>Datos!BO16/factor_trimestre</f>
        <v>0</v>
      </c>
      <c r="BH16" s="159">
        <f>Datos!BP16/factor_trimestre</f>
        <v>0</v>
      </c>
      <c r="BI16" s="159">
        <f>Datos!BQ16/factor_trimestre</f>
        <v>0</v>
      </c>
      <c r="BJ16" s="159">
        <f>Datos!BR16/factor_trimestre</f>
        <v>0</v>
      </c>
      <c r="BK16" s="159">
        <f>Datos!BS16/factor_trimestre</f>
        <v>0</v>
      </c>
      <c r="BL16" s="159">
        <f>Datos!BT16/factor_trimestre</f>
        <v>0</v>
      </c>
      <c r="BM16" s="159">
        <f>Datos!BU16/factor_trimestre</f>
        <v>0</v>
      </c>
    </row>
    <row r="17" spans="1:65" ht="14.25">
      <c r="A17" s="182">
        <f>Datos!AO17</f>
        <v>2</v>
      </c>
      <c r="B17" s="280" t="s">
        <v>437</v>
      </c>
      <c r="C17" s="165" t="str">
        <f>Datos!A17</f>
        <v xml:space="preserve">Jdos. 1ª Instª. e Instr.                        </v>
      </c>
      <c r="D17" s="165"/>
      <c r="E17" s="1205">
        <f>IF(ISNUMBER(Datos!AQ17),Datos!AQ17," - ")</f>
        <v>2</v>
      </c>
      <c r="F17" s="230">
        <f>IF(ISNUMBER(AA17+W17-Datos!J17-K17),AA17+W17-Datos!J17-K17," - ")</f>
        <v>234</v>
      </c>
      <c r="G17" s="343">
        <f>IF(ISNUMBER(IF(D_I="SI",Datos!I17,Datos!I17+Datos!AC17)),IF(D_I="SI",Datos!I17,Datos!I17+Datos!AC17)," - ")</f>
        <v>224</v>
      </c>
      <c r="H17" s="230" t="str">
        <f>IF(ISNUMBER(Datos!DB17),Datos!DB17," - ")</f>
        <v xml:space="preserve"> - </v>
      </c>
      <c r="I17" s="231" t="str">
        <f>IF(ISNUMBER(Datos!DC17),Datos!DC17," - ")</f>
        <v xml:space="preserve"> - </v>
      </c>
      <c r="J17" s="231" t="str">
        <f>IF(ISNUMBER(Datos!DD17),Datos!DD17," - ")</f>
        <v xml:space="preserve"> - </v>
      </c>
      <c r="K17" s="231">
        <f>IF(ISNUMBER(Datos!DF17),Datos!DF17,0)</f>
        <v>0</v>
      </c>
      <c r="L17" s="231">
        <f>IF(ISNUMBER(Datos!P17),Datos!P17,0)</f>
        <v>9</v>
      </c>
      <c r="M17" s="231" t="str">
        <f>IF(ISNUMBER(Datos!DE17),Datos!DE17," - ")</f>
        <v xml:space="preserve"> - </v>
      </c>
      <c r="N17" s="231" t="str">
        <f>IF(ISNUMBER(H17),H17," - ")</f>
        <v xml:space="preserve"> - </v>
      </c>
      <c r="O17" s="317" t="e">
        <f ca="1">IF(ISNUMBER(INDIRECT("N"&amp;ROW()+salto-1)),N17+(INDIRECT("N"&amp;ROW()+salto-1))/9.15,N17/9.15+(INDIRECT("N"&amp;ROW()-salto+1)))</f>
        <v>#VALUE!</v>
      </c>
      <c r="P17" s="347" t="str">
        <f>IF(ISNUMBER((N17)/((BF17+BG17)/2)),(N17)/((BF17+BG17)/2)," - ")</f>
        <v xml:space="preserve"> - </v>
      </c>
      <c r="Q17" s="347" t="str">
        <f>IF(jurisdiccion="Jurisdicción Civil y Penal",IF(ISNUMBER((O17)/((BL17+BM17)/2)),(O17)/((BL17+BM17)/2)," - "),IF(ISNUMBER((N17)/((BF17+BG17)/2)),(N17)/((BF17+BG17)/2)," - "))</f>
        <v xml:space="preserve"> - </v>
      </c>
      <c r="R17" s="232" t="str">
        <f>IF(ISNUMBER(Datos!CB17),Datos!CB17," - ")</f>
        <v xml:space="preserve"> - </v>
      </c>
      <c r="S17" s="230" t="str">
        <f>IF(ISNUMBER(Datos!BY17),Datos!BY17," - ")</f>
        <v xml:space="preserve"> - </v>
      </c>
      <c r="T17" s="347" t="str">
        <f>IF(ISNUMBER((S17*factor_trimestre)/DatosB!CN17),(S17*factor_trimestre)/DatosB!CN17,"-")</f>
        <v>-</v>
      </c>
      <c r="U17" s="146" t="e">
        <f ca="1">IF(ISNUMBER(INDIRECT("S"&amp;ROW()+salto-1)),S17+(INDIRECT("S"&amp;ROW()+salto-1)),S17+(INDIRECT("S"&amp;ROW()-salto+1)))</f>
        <v>#VALUE!</v>
      </c>
      <c r="V17" s="347" t="str">
        <f ca="1">IF(ISNUMBER((U17*factor_trimestre)/DatosB!CN17),(U17*factor_trimestre)/DatosB!CN17,"-")</f>
        <v>-</v>
      </c>
      <c r="W17" s="230">
        <f>IF(ISNUMBER(IF(D_I="SI",Datos!K17,Datos!K17+Datos!AE17)),IF(D_I="SI",Datos!K17,Datos!K17+Datos!AE17)," - ")</f>
        <v>606</v>
      </c>
      <c r="X17" s="231">
        <f>IF(ISNUMBER(Datos!Q17),Datos!Q17," - ")</f>
        <v>32</v>
      </c>
      <c r="Y17" s="344">
        <f t="shared" ref="Y17:Y19" si="9">SUM(W17:X17)</f>
        <v>638</v>
      </c>
      <c r="Z17" s="345" t="str">
        <f>IF(ISNUMBER(Datos!CC17),Datos!CC17," - ")</f>
        <v xml:space="preserve"> - </v>
      </c>
      <c r="AA17" s="342">
        <f>IF(ISNUMBER(IF(D_I="SI",Datos!L17,Datos!L17+Datos!AF17)),IF(D_I="SI",Datos!L17,Datos!L17+Datos!AF17)," - ")</f>
        <v>250</v>
      </c>
      <c r="AB17" s="344">
        <f>IF(ISNUMBER(Datos!R17),Datos!R17," - ")</f>
        <v>30</v>
      </c>
      <c r="AC17" s="344">
        <f t="shared" si="8"/>
        <v>280</v>
      </c>
      <c r="AD17" s="345" t="str">
        <f>IF(ISNUMBER(Datos!CD17),Datos!CD17," - ")</f>
        <v xml:space="preserve"> - </v>
      </c>
      <c r="AE17" s="234" t="str">
        <f>IF(ISNUMBER(Datos!BV17),Datos!BV17," - ")</f>
        <v xml:space="preserve"> - </v>
      </c>
      <c r="AF17" s="230" t="str">
        <f>IF(ISNUMBER(Datos!CK17),Datos!CK17," - ")</f>
        <v xml:space="preserve"> - </v>
      </c>
      <c r="AG17" s="303" t="str">
        <f>IF(ISNUMBER(Datos!CL17),Datos!CL17," - ")</f>
        <v xml:space="preserve"> - </v>
      </c>
      <c r="AH17" s="232" t="str">
        <f>IF(ISNUMBER(Datos!CM17),Datos!CM17," - ")</f>
        <v xml:space="preserve"> - </v>
      </c>
      <c r="AI17" s="230">
        <f>IF(ISNUMBER(Datos!M17),Datos!M17," - ")</f>
        <v>86</v>
      </c>
      <c r="AJ17" s="236" t="str">
        <f>IF(ISNUMBER(Datos!BW17),Datos!BW17," - ")</f>
        <v xml:space="preserve"> - </v>
      </c>
      <c r="AK17" s="237" t="str">
        <f>IF(ISNUMBER(Datos!BX17),Datos!BX17," - ")</f>
        <v xml:space="preserve"> - </v>
      </c>
      <c r="AL17" s="248">
        <f>IF(ISNUMBER(NºAsuntos!G17/NºAsuntos!E17),NºAsuntos!G17/NºAsuntos!E17," - ")</f>
        <v>0.97427652733118975</v>
      </c>
      <c r="AM17" s="265">
        <f>IF(ISNUMBER(((NºAsuntos!I17/NºAsuntos!G17)*11)/factor_trimestre),((NºAsuntos!I17/NºAsuntos!G17)*11)/factor_trimestre," - ")</f>
        <v>1.2376237623762376</v>
      </c>
      <c r="AN17" s="249">
        <f>IF(ISNUMBER('Resol  Asuntos'!D17/NºAsuntos!G17),'Resol  Asuntos'!D17/NºAsuntos!G17," - ")</f>
        <v>0.14191419141914191</v>
      </c>
      <c r="AO17" s="250">
        <f>IF(ISNUMBER((NºAsuntos!C17+NºAsuntos!E17)/NºAsuntos!G17),(NºAsuntos!C17+NºAsuntos!E17)/NºAsuntos!G17," - ")</f>
        <v>1.3960396039603959</v>
      </c>
      <c r="AP17" s="235" t="str">
        <f t="shared" si="2"/>
        <v xml:space="preserve"> - </v>
      </c>
      <c r="AQ17" s="235" t="str">
        <f>IF(ISNUMBER((I17-W17+K17)/(F17)),(I17-W17+K17)/(F17)," - ")</f>
        <v xml:space="preserve"> - </v>
      </c>
      <c r="AR17" s="309" t="str">
        <f>IF(ISNUMBER((Datos!P17-Datos!Q17+M17)/(Datos!R17-Datos!P17+Datos!Q17-M17)),(Datos!P17-Datos!Q17+M17)/(Datos!R17-Datos!P17+Datos!Q17-M17)," - ")</f>
        <v xml:space="preserve"> - </v>
      </c>
      <c r="AS17" s="271" t="str">
        <f>IF(ISNUMBER(Datos!CS17),Datos!CS17," - ")</f>
        <v xml:space="preserve"> - </v>
      </c>
      <c r="AT17" s="271" t="str">
        <f>IF(ISNUMBER(Datos!CI17),Datos!CI17," - ")</f>
        <v xml:space="preserve"> - </v>
      </c>
      <c r="AU17" s="271" t="str">
        <f>IF(ISNUMBER(Datos!CJ17),Datos!CJ17," - ")</f>
        <v xml:space="preserve"> - </v>
      </c>
      <c r="AV17" s="271" t="str">
        <f>IF(ISNUMBER(Datos!CW17),Datos!CW17," - ")</f>
        <v xml:space="preserve"> - </v>
      </c>
      <c r="AW17" s="271" t="str">
        <f>IF(ISNUMBER(Datos!EV17),Datos!EV17," - ")</f>
        <v xml:space="preserve"> - </v>
      </c>
      <c r="AX17" s="271">
        <f>IF(ISNUMBER(Datos!CX17)," - ",Datos!CX17)</f>
        <v>0</v>
      </c>
      <c r="AY17" s="271" t="str">
        <f>IF(ISNUMBER(Datos!ET17),Datos!ET17," - ")</f>
        <v xml:space="preserve"> - </v>
      </c>
      <c r="AZ17" s="1139" t="e">
        <f>(AY17/Datos!ER17)*factor_trimestre</f>
        <v>#VALUE!</v>
      </c>
      <c r="BF17" s="159">
        <f>Datos!BN17/factor_trimestre</f>
        <v>0</v>
      </c>
      <c r="BG17" s="159">
        <f>Datos!BO17/factor_trimestre</f>
        <v>0</v>
      </c>
      <c r="BH17" s="159">
        <f>Datos!BP17/factor_trimestre</f>
        <v>0</v>
      </c>
      <c r="BI17" s="159">
        <f>Datos!BQ17/factor_trimestre</f>
        <v>0</v>
      </c>
      <c r="BJ17" s="159">
        <f>Datos!BR17/factor_trimestre</f>
        <v>0</v>
      </c>
      <c r="BK17" s="159">
        <f>Datos!BS17/factor_trimestre</f>
        <v>0</v>
      </c>
      <c r="BL17" s="159">
        <f>Datos!BT17/factor_trimestre</f>
        <v>0</v>
      </c>
      <c r="BM17" s="159">
        <f>Datos!BU17/factor_trimestre</f>
        <v>0</v>
      </c>
    </row>
    <row r="18" spans="1:65" ht="14.25">
      <c r="A18" s="182">
        <f>Datos!AO18</f>
        <v>1</v>
      </c>
      <c r="B18" s="280" t="s">
        <v>437</v>
      </c>
      <c r="C18" s="7" t="str">
        <f>Datos!A18</f>
        <v>Jdos. Violencia contra la mujer</v>
      </c>
      <c r="D18" s="7"/>
      <c r="E18" s="1205">
        <f>IF(ISNUMBER(Datos!AQ18),Datos!AQ18," - ")</f>
        <v>0</v>
      </c>
      <c r="F18" s="230" t="str">
        <f>IF(ISNUMBER(AA18+W18-H18-K18),AA18+W18-H18-K18," - ")</f>
        <v xml:space="preserve"> - </v>
      </c>
      <c r="G18" s="343">
        <f>IF(ISNUMBER(IF(D_I="SI",Datos!I18,Datos!I18+Datos!AC18)),IF(D_I="SI",Datos!I18,Datos!I18+Datos!AC18)," - ")</f>
        <v>14</v>
      </c>
      <c r="H18" s="230" t="str">
        <f>IF(ISNUMBER(Datos!DB18),Datos!DB18," - ")</f>
        <v xml:space="preserve"> - </v>
      </c>
      <c r="I18" s="231" t="str">
        <f>IF(ISNUMBER(Datos!DC18),Datos!DC18," - ")</f>
        <v xml:space="preserve"> - </v>
      </c>
      <c r="J18" s="231" t="str">
        <f>IF(ISNUMBER(Datos!DD18),Datos!DD18," - ")</f>
        <v xml:space="preserve"> - </v>
      </c>
      <c r="K18" s="231">
        <f>IF(ISNUMBER(Datos!DF18),Datos!DF18,0)</f>
        <v>0</v>
      </c>
      <c r="L18" s="231">
        <f>IF(ISNUMBER(Datos!P18),Datos!P18,0)</f>
        <v>0</v>
      </c>
      <c r="M18" s="231" t="str">
        <f>IF(ISNUMBER(Datos!DE18),Datos!DE18," - ")</f>
        <v xml:space="preserve"> - </v>
      </c>
      <c r="N18" s="231" t="str">
        <f>IF(ISNUMBER(H18),H18," - ")</f>
        <v xml:space="preserve"> - </v>
      </c>
      <c r="O18" s="317" t="e">
        <f ca="1">IF(ISNUMBER(INDIRECT("N"&amp;ROW()+salto-1)),N18+(INDIRECT("N"&amp;ROW()+salto-1)),N18+(INDIRECT("N"&amp;ROW()-salto+1)))</f>
        <v>#VALUE!</v>
      </c>
      <c r="P18" s="347" t="str">
        <f t="shared" ref="P18:P19" si="10">IF(ISNUMBER((N18)/((BL18+BM18)/2)),(N18)/((BL18+BM18)/2)," - ")</f>
        <v xml:space="preserve"> - </v>
      </c>
      <c r="Q18" s="347" t="str">
        <f>IF(jurisdiccion="Jurisdicción Civil y Penal",IF(ISNUMBER((O18)/((BL18+BM18)/2)),(O18)/((BL18+BM18)/2)," - "),IF(ISNUMBER((N18)/((BF18+BG18)/2)),(N18)/((BF18+BG18)/2)," - "))</f>
        <v xml:space="preserve"> - </v>
      </c>
      <c r="R18" s="232" t="str">
        <f>IF(ISNUMBER(Datos!CB18),Datos!CB18," - ")</f>
        <v xml:space="preserve"> - </v>
      </c>
      <c r="S18" s="230" t="str">
        <f>IF(ISNUMBER(Datos!BY18+Datos!BZ18),Datos!BY18+Datos!BZ18," - ")</f>
        <v xml:space="preserve"> - </v>
      </c>
      <c r="T18" s="347" t="str">
        <f>IF(ISNUMBER((S18*factor_trimestre)/DatosB!CN18),(S18*factor_trimestre)/DatosB!CN18,"-")</f>
        <v>-</v>
      </c>
      <c r="U18" s="146" t="e">
        <f ca="1">IF(ISNUMBER(INDIRECT("S"&amp;ROW()+salto-1)),S18+(INDIRECT("S"&amp;ROW()+salto-1)),S18+(INDIRECT("S"&amp;ROW()-salto+1)))</f>
        <v>#VALUE!</v>
      </c>
      <c r="V18" s="347" t="str">
        <f ca="1">IF(ISNUMBER((U18*factor_trimestre)/DatosB!CN18),(U18*factor_trimestre)/DatosB!CN18,"-")</f>
        <v>-</v>
      </c>
      <c r="W18" s="230">
        <f>IF(ISNUMBER(IF(D_I="SI",Datos!K18,Datos!K18+Datos!AE18)),IF(D_I="SI",Datos!K18,Datos!K18+Datos!AE18)," - ")</f>
        <v>19</v>
      </c>
      <c r="X18" s="231">
        <f>IF(ISNUMBER(Datos!Q18),Datos!Q18," - ")</f>
        <v>0</v>
      </c>
      <c r="Y18" s="344">
        <f t="shared" si="9"/>
        <v>19</v>
      </c>
      <c r="Z18" s="345" t="str">
        <f>IF(ISNUMBER(Datos!CC18),Datos!CC18," - ")</f>
        <v xml:space="preserve"> - </v>
      </c>
      <c r="AA18" s="342">
        <f>IF(ISNUMBER(Datos!L18),Datos!L18,"-")</f>
        <v>19</v>
      </c>
      <c r="AB18" s="344">
        <f>IF(ISNUMBER(Datos!R18),Datos!R18," - ")</f>
        <v>0</v>
      </c>
      <c r="AC18" s="344">
        <f t="shared" si="8"/>
        <v>19</v>
      </c>
      <c r="AD18" s="345" t="str">
        <f>IF(ISNUMBER(Datos!CD18),Datos!CD18," - ")</f>
        <v xml:space="preserve"> - </v>
      </c>
      <c r="AE18" s="234" t="str">
        <f>IF(ISNUMBER(Datos!BV18),Datos!BV18," - ")</f>
        <v xml:space="preserve"> - </v>
      </c>
      <c r="AF18" s="230" t="str">
        <f>IF(ISNUMBER(Datos!CK18),Datos!CK18," - ")</f>
        <v xml:space="preserve"> - </v>
      </c>
      <c r="AG18" s="303" t="str">
        <f>IF(ISNUMBER(Datos!CL18),Datos!CL18," - ")</f>
        <v xml:space="preserve"> - </v>
      </c>
      <c r="AH18" s="232" t="str">
        <f>IF(ISNUMBER(Datos!CM18),Datos!CM18," - ")</f>
        <v xml:space="preserve"> - </v>
      </c>
      <c r="AI18" s="230">
        <f>IF(ISNUMBER(Datos!M18),Datos!M18," - ")</f>
        <v>5</v>
      </c>
      <c r="AJ18" s="236" t="str">
        <f>IF(ISNUMBER(Datos!BW18),Datos!BW18," - ")</f>
        <v xml:space="preserve"> - </v>
      </c>
      <c r="AK18" s="237" t="str">
        <f>IF(ISNUMBER(Datos!BX18),Datos!BX18," - ")</f>
        <v xml:space="preserve"> - </v>
      </c>
      <c r="AL18" s="248">
        <f>IF(ISNUMBER(NºAsuntos!G18/NºAsuntos!E18),NºAsuntos!G18/NºAsuntos!E18," - ")</f>
        <v>0.79166666666666663</v>
      </c>
      <c r="AM18" s="265">
        <f>IF(ISNUMBER(((NºAsuntos!I18/NºAsuntos!G18)*11)/factor_trimestre),((NºAsuntos!I18/NºAsuntos!G18)*11)/factor_trimestre," - ")</f>
        <v>3</v>
      </c>
      <c r="AN18" s="249">
        <f>IF(ISNUMBER('Resol  Asuntos'!D18/NºAsuntos!G18),'Resol  Asuntos'!D18/NºAsuntos!G18," - ")</f>
        <v>0.26315789473684209</v>
      </c>
      <c r="AO18" s="250">
        <f>IF(ISNUMBER((NºAsuntos!C18+NºAsuntos!E18)/NºAsuntos!G18),(NºAsuntos!C18+NºAsuntos!E18)/NºAsuntos!G18," - ")</f>
        <v>2</v>
      </c>
      <c r="AP18" s="235" t="str">
        <f t="shared" si="2"/>
        <v xml:space="preserve"> - </v>
      </c>
      <c r="AQ18" s="235" t="str">
        <f t="shared" ref="AQ18:AQ19" si="11">IF(ISNUMBER((H18-W18+K18)/(F18)),(H18-W18+K18)/(F18)," - ")</f>
        <v xml:space="preserve"> - </v>
      </c>
      <c r="AR18" s="309" t="str">
        <f>IF(ISNUMBER((Datos!P18-Datos!Q18+M18)/(Datos!R18-Datos!P18+Datos!Q18-M18)),(Datos!P18-Datos!Q18+M18)/(Datos!R18-Datos!P18+Datos!Q18-M18)," - ")</f>
        <v xml:space="preserve"> - </v>
      </c>
      <c r="AS18" s="271" t="str">
        <f>IF(ISNUMBER(Datos!CS18),Datos!CS18," - ")</f>
        <v xml:space="preserve"> - </v>
      </c>
      <c r="AT18" s="271" t="str">
        <f>IF(ISNUMBER(Datos!CI18),Datos!CI18," - ")</f>
        <v xml:space="preserve"> - </v>
      </c>
      <c r="AU18" s="271" t="str">
        <f>IF(ISNUMBER(Datos!CJ18),Datos!CJ18," - ")</f>
        <v xml:space="preserve"> - </v>
      </c>
      <c r="AV18" s="271" t="str">
        <f>IF(ISNUMBER(Datos!CW18),Datos!CW18," - ")</f>
        <v xml:space="preserve"> - </v>
      </c>
      <c r="AW18" s="271" t="str">
        <f>IF(ISNUMBER(Datos!EV18),Datos!EV18," - ")</f>
        <v xml:space="preserve"> - </v>
      </c>
      <c r="AX18" s="271">
        <f>IF(ISNUMBER(Datos!CX18)," - ",Datos!CX18)</f>
        <v>0</v>
      </c>
      <c r="AY18" s="271" t="str">
        <f>IF(ISNUMBER(Datos!EO18),Datos!EO18," - ")</f>
        <v xml:space="preserve"> - </v>
      </c>
      <c r="AZ18" s="1139" t="e">
        <f>(AY18/Datos!ER18)*factor_trimestre</f>
        <v>#VALUE!</v>
      </c>
      <c r="BF18" s="159">
        <f>Datos!BN18/factor_trimestre</f>
        <v>0</v>
      </c>
      <c r="BG18" s="159">
        <f>Datos!BO18/factor_trimestre</f>
        <v>0</v>
      </c>
      <c r="BH18" s="159">
        <f>Datos!BP18/factor_trimestre</f>
        <v>0</v>
      </c>
      <c r="BI18" s="159">
        <f>Datos!BQ18/factor_trimestre</f>
        <v>0</v>
      </c>
      <c r="BJ18" s="159">
        <f>Datos!BR18/factor_trimestre</f>
        <v>0</v>
      </c>
      <c r="BK18" s="159">
        <f>Datos!BS18/factor_trimestre</f>
        <v>0</v>
      </c>
      <c r="BL18" s="159">
        <f>Datos!BT18/factor_trimestre</f>
        <v>0</v>
      </c>
      <c r="BM18" s="159">
        <f>Datos!BU18/factor_trimestre</f>
        <v>0</v>
      </c>
    </row>
    <row r="19" spans="1:65" ht="15" thickBot="1">
      <c r="A19" s="182">
        <f>Datos!AO19</f>
        <v>0</v>
      </c>
      <c r="B19" s="280" t="s">
        <v>437</v>
      </c>
      <c r="C19" s="7" t="str">
        <f>Datos!A19</f>
        <v xml:space="preserve">Jdos. de Menores                                </v>
      </c>
      <c r="D19" s="7"/>
      <c r="E19" s="1205">
        <f>IF(ISNUMBER(Datos!AQ19),Datos!AQ19," - ")</f>
        <v>0</v>
      </c>
      <c r="F19" s="230" t="str">
        <f>IF(ISNUMBER(Datos!L19+Datos!K19-Datos!J19-K19),Datos!L19+Datos!K19-Datos!J19-K19," - ")</f>
        <v xml:space="preserve"> - </v>
      </c>
      <c r="G19" s="343" t="str">
        <f>IF(ISNUMBER(Datos!I19),Datos!I19," - ")</f>
        <v xml:space="preserve"> - </v>
      </c>
      <c r="H19" s="230" t="str">
        <f>IF(ISNUMBER(Datos!DB19),Datos!DB19," - ")</f>
        <v xml:space="preserve"> - </v>
      </c>
      <c r="I19" s="231" t="str">
        <f>IF(ISNUMBER(Datos!DC19),Datos!DC19," - ")</f>
        <v xml:space="preserve"> - </v>
      </c>
      <c r="J19" s="231" t="str">
        <f>IF(ISNUMBER(Datos!DD19),Datos!DD19," - ")</f>
        <v xml:space="preserve"> - </v>
      </c>
      <c r="K19" s="231">
        <f>IF(ISNUMBER(Datos!DF19),Datos!DF19,0)</f>
        <v>0</v>
      </c>
      <c r="L19" s="231">
        <f>IF(ISNUMBER(Datos!P19),Datos!P19,0)</f>
        <v>0</v>
      </c>
      <c r="M19" s="231" t="str">
        <f>IF(ISNUMBER(Datos!DE19),Datos!DE19," - ")</f>
        <v xml:space="preserve"> - </v>
      </c>
      <c r="N19" s="231" t="str">
        <f>IF(ISNUMBER(H19+L19),H19+L19," - ")</f>
        <v xml:space="preserve"> - </v>
      </c>
      <c r="O19" s="344"/>
      <c r="P19" s="347" t="str">
        <f t="shared" si="10"/>
        <v xml:space="preserve"> - </v>
      </c>
      <c r="Q19" s="347" t="str">
        <f>IF(ISNUMBER((N19)/((BL19+BM19)/2)),(N19)/((BL19+BM19)/2)," - ")</f>
        <v xml:space="preserve"> - </v>
      </c>
      <c r="R19" s="232" t="str">
        <f>IF(ISNUMBER(Datos!CB19),Datos!CB19," - ")</f>
        <v xml:space="preserve"> - </v>
      </c>
      <c r="S19" s="230" t="str">
        <f>IF(ISNUMBER(Datos!BY19),Datos!BY19," - ")</f>
        <v xml:space="preserve"> - </v>
      </c>
      <c r="T19" s="347" t="str">
        <f>IF(ISNUMBER((S19*factor_trimestre)/DatosB!CN19),(S19*factor_trimestre)/DatosB!CN19,"-")</f>
        <v>-</v>
      </c>
      <c r="U19" s="303"/>
      <c r="V19" s="347">
        <f>IF(ISNUMBER((U19*factor_trimestre)/DatosB!CN19),(U19*factor_trimestre)/DatosB!CN19,"-")</f>
        <v>0</v>
      </c>
      <c r="W19" s="230" t="str">
        <f>IF(ISNUMBER(Datos!K19),Datos!K19," - ")</f>
        <v xml:space="preserve"> - </v>
      </c>
      <c r="X19" s="231" t="str">
        <f>IF(ISNUMBER(Datos!Q19),Datos!Q19," - ")</f>
        <v xml:space="preserve"> - </v>
      </c>
      <c r="Y19" s="344">
        <f t="shared" si="9"/>
        <v>0</v>
      </c>
      <c r="Z19" s="345" t="str">
        <f>IF(ISNUMBER(Datos!CC19),Datos!CC19," - ")</f>
        <v xml:space="preserve"> - </v>
      </c>
      <c r="AA19" s="342" t="str">
        <f>IF(ISNUMBER(Datos!L19),Datos!L19,"-")</f>
        <v>-</v>
      </c>
      <c r="AB19" s="344" t="str">
        <f>IF(ISNUMBER(Datos!R19),Datos!R19," - ")</f>
        <v xml:space="preserve"> - </v>
      </c>
      <c r="AC19" s="344" t="str">
        <f t="shared" si="8"/>
        <v xml:space="preserve"> - </v>
      </c>
      <c r="AD19" s="345" t="str">
        <f>IF(ISNUMBER(Datos!CD19),Datos!CD19," - ")</f>
        <v xml:space="preserve"> - </v>
      </c>
      <c r="AE19" s="234" t="str">
        <f>IF(ISNUMBER(Datos!BV19),Datos!BV19," - ")</f>
        <v xml:space="preserve"> - </v>
      </c>
      <c r="AF19" s="230" t="str">
        <f>IF(ISNUMBER(Datos!CK19),Datos!CK19," - ")</f>
        <v xml:space="preserve"> - </v>
      </c>
      <c r="AG19" s="303" t="str">
        <f>IF(ISNUMBER(Datos!CL19),Datos!CL19," - ")</f>
        <v xml:space="preserve"> - </v>
      </c>
      <c r="AH19" s="232" t="str">
        <f>IF(ISNUMBER(Datos!CM19),Datos!CM19," - ")</f>
        <v xml:space="preserve"> - </v>
      </c>
      <c r="AI19" s="230" t="str">
        <f>IF(ISNUMBER(Datos!M19),Datos!M19," - ")</f>
        <v xml:space="preserve"> - </v>
      </c>
      <c r="AJ19" s="236" t="str">
        <f>IF(ISNUMBER(Datos!BW19),Datos!BW19," - ")</f>
        <v xml:space="preserve"> - </v>
      </c>
      <c r="AK19" s="237" t="str">
        <f>IF(ISNUMBER(Datos!BX19),Datos!BX19," - ")</f>
        <v xml:space="preserve"> - </v>
      </c>
      <c r="AL19" s="248" t="str">
        <f>IF(ISNUMBER(NºAsuntos!G19/NºAsuntos!E19),NºAsuntos!G19/NºAsuntos!E19," - ")</f>
        <v xml:space="preserve"> - </v>
      </c>
      <c r="AM19" s="265" t="str">
        <f>IF(ISNUMBER(((NºAsuntos!I19/NºAsuntos!G19)*11)/factor_trimestre),((NºAsuntos!I19/NºAsuntos!G19)*11)/factor_trimestre," - ")</f>
        <v xml:space="preserve"> - </v>
      </c>
      <c r="AN19" s="249" t="str">
        <f>IF(ISNUMBER('Resol  Asuntos'!D19/NºAsuntos!G19),'Resol  Asuntos'!D19/NºAsuntos!G19," - ")</f>
        <v xml:space="preserve"> - </v>
      </c>
      <c r="AO19" s="250" t="str">
        <f>IF(ISNUMBER((NºAsuntos!C19+NºAsuntos!E19)/NºAsuntos!G19),(NºAsuntos!C19+NºAsuntos!E19)/NºAsuntos!G19," - ")</f>
        <v xml:space="preserve"> - </v>
      </c>
      <c r="AP19" s="235" t="str">
        <f t="shared" si="2"/>
        <v xml:space="preserve"> - </v>
      </c>
      <c r="AQ19" s="235" t="str">
        <f t="shared" si="11"/>
        <v xml:space="preserve"> - </v>
      </c>
      <c r="AR19" s="309" t="str">
        <f>IF(ISNUMBER((Datos!P19-Datos!Q19+M19)/(Datos!R19-Datos!P19+Datos!Q19-M19)),(Datos!P19-Datos!Q19+M19)/(Datos!R19-Datos!P19+Datos!Q19-M19)," - ")</f>
        <v xml:space="preserve"> - </v>
      </c>
      <c r="AS19" s="271" t="str">
        <f>IF(ISNUMBER(Datos!CS19),Datos!CS19," - ")</f>
        <v xml:space="preserve"> - </v>
      </c>
      <c r="AT19" s="271" t="str">
        <f>IF(ISNUMBER(Datos!CI19),Datos!CI19," - ")</f>
        <v xml:space="preserve"> - </v>
      </c>
      <c r="AU19" s="271" t="str">
        <f>IF(ISNUMBER(Datos!CJ19),Datos!CJ19," - ")</f>
        <v xml:space="preserve"> - </v>
      </c>
      <c r="AV19" s="271" t="str">
        <f>IF(ISNUMBER(Datos!CW19),Datos!CW19," - ")</f>
        <v xml:space="preserve"> - </v>
      </c>
      <c r="AW19" s="271" t="str">
        <f>IF(ISNUMBER(Datos!EV19),Datos!EV19," - ")</f>
        <v xml:space="preserve"> - </v>
      </c>
      <c r="AX19" s="271">
        <f>IF(ISNUMBER(Datos!CX19)," - ",Datos!CX19)</f>
        <v>0</v>
      </c>
      <c r="AY19" s="271" t="str">
        <f>IF(ISNUMBER(Datos!EO19),Datos!EO19," - ")</f>
        <v xml:space="preserve"> - </v>
      </c>
      <c r="AZ19" s="1139" t="e">
        <f>(AY19/Datos!ER19)*factor_trimestre</f>
        <v>#VALUE!</v>
      </c>
      <c r="BF19" s="159">
        <f>Datos!BN19/factor_trimestre</f>
        <v>0</v>
      </c>
      <c r="BG19" s="159">
        <f>Datos!BO19/factor_trimestre</f>
        <v>0</v>
      </c>
      <c r="BH19" s="159">
        <f>Datos!BP19/factor_trimestre</f>
        <v>0</v>
      </c>
      <c r="BI19" s="159">
        <f>Datos!BQ19/factor_trimestre</f>
        <v>0</v>
      </c>
      <c r="BJ19" s="159">
        <f>Datos!BR19/factor_trimestre</f>
        <v>0</v>
      </c>
      <c r="BK19" s="159">
        <f>Datos!BS19/factor_trimestre</f>
        <v>0</v>
      </c>
      <c r="BL19" s="159">
        <f>Datos!BT19/factor_trimestre</f>
        <v>0</v>
      </c>
      <c r="BM19" s="159">
        <f>Datos!BU19/factor_trimestre</f>
        <v>0</v>
      </c>
    </row>
    <row r="20" spans="1:65" ht="15.75" thickTop="1" thickBot="1">
      <c r="A20" s="183"/>
      <c r="B20" s="183"/>
      <c r="C20" s="1010" t="str">
        <f>Datos!A20</f>
        <v>TOTAL</v>
      </c>
      <c r="D20" s="1010"/>
      <c r="E20" s="1330">
        <f>SUBTOTAL(9,E15:E19)</f>
        <v>2</v>
      </c>
      <c r="F20" s="1012">
        <f>SUBTOTAL(9,F15:F19)</f>
        <v>234</v>
      </c>
      <c r="G20" s="1013">
        <f>SUBTOTAL(9,G16:G19)</f>
        <v>238</v>
      </c>
      <c r="H20" s="1012">
        <f t="shared" ref="H20:O20" si="12">SUBTOTAL(9,H15:H19)</f>
        <v>0</v>
      </c>
      <c r="I20" s="1014">
        <f t="shared" si="12"/>
        <v>0</v>
      </c>
      <c r="J20" s="1014">
        <f t="shared" si="12"/>
        <v>0</v>
      </c>
      <c r="K20" s="1014">
        <f t="shared" si="12"/>
        <v>0</v>
      </c>
      <c r="L20" s="1014">
        <f t="shared" si="12"/>
        <v>9</v>
      </c>
      <c r="M20" s="1014">
        <f t="shared" si="12"/>
        <v>0</v>
      </c>
      <c r="N20" s="1014">
        <f t="shared" si="12"/>
        <v>0</v>
      </c>
      <c r="O20" s="1015" t="e">
        <f t="shared" ca="1" si="12"/>
        <v>#VALUE!</v>
      </c>
      <c r="P20" s="1015"/>
      <c r="Q20" s="1016" t="str">
        <f>IF(ISNUMBER((N20*factor_trimestre)/((Datos!BT20+Datos!BU20)/2)),(N20*factor_trimestre)/((Datos!BT20+Datos!BU20)/2)," - ")</f>
        <v xml:space="preserve"> - </v>
      </c>
      <c r="R20" s="1017">
        <f>SUBTOTAL(9,R15:R19)</f>
        <v>0</v>
      </c>
      <c r="S20" s="1012">
        <f>SUBTOTAL(9,S15:S19)</f>
        <v>0</v>
      </c>
      <c r="T20" s="1018">
        <f>IF(ISNUMBER((S20*factor_trimestre)/DatosB!BM20),(S20*factor_trimestre)/DatosB!BM20,"-")</f>
        <v>0</v>
      </c>
      <c r="U20" s="1012" t="e">
        <f ca="1">SUBTOTAL(9,U15:U19)</f>
        <v>#VALUE!</v>
      </c>
      <c r="V20" s="1018" t="str">
        <f ca="1">IF(ISNUMBER((U20*factor_trimestre)/DatosB!CN20),(U20*factor_trimestre)/DatosB!CN20,"-")</f>
        <v>-</v>
      </c>
      <c r="W20" s="1014">
        <f t="shared" ref="W20:AK20" si="13">SUBTOTAL(9,W15:W19)</f>
        <v>625</v>
      </c>
      <c r="X20" s="1014">
        <f t="shared" si="13"/>
        <v>32</v>
      </c>
      <c r="Y20" s="1015">
        <f t="shared" si="13"/>
        <v>657</v>
      </c>
      <c r="Z20" s="1015">
        <f t="shared" si="13"/>
        <v>0</v>
      </c>
      <c r="AA20" s="1015">
        <f t="shared" si="13"/>
        <v>269</v>
      </c>
      <c r="AB20" s="1015">
        <f t="shared" si="13"/>
        <v>30</v>
      </c>
      <c r="AC20" s="1015">
        <f t="shared" si="13"/>
        <v>299</v>
      </c>
      <c r="AD20" s="1015">
        <f t="shared" si="13"/>
        <v>0</v>
      </c>
      <c r="AE20" s="1019">
        <f t="shared" si="13"/>
        <v>0</v>
      </c>
      <c r="AF20" s="1012">
        <f t="shared" si="13"/>
        <v>0</v>
      </c>
      <c r="AG20" s="1020">
        <f t="shared" si="13"/>
        <v>0</v>
      </c>
      <c r="AH20" s="1017">
        <f t="shared" si="13"/>
        <v>0</v>
      </c>
      <c r="AI20" s="1012">
        <f t="shared" si="13"/>
        <v>91</v>
      </c>
      <c r="AJ20" s="1014">
        <f t="shared" si="13"/>
        <v>0</v>
      </c>
      <c r="AK20" s="1017">
        <f t="shared" si="13"/>
        <v>0</v>
      </c>
      <c r="AL20" s="1021">
        <f>IF(ISNUMBER(NºAsuntos!G20/NºAsuntos!E20),NºAsuntos!G20/NºAsuntos!E20," - ")</f>
        <v>0.96749226006191946</v>
      </c>
      <c r="AM20" s="1021">
        <f>IF(ISNUMBER(((NºAsuntos!I20/NºAsuntos!G20)*11)/factor_trimestre),((NºAsuntos!I20/NºAsuntos!G20)*11)/factor_trimestre," - ")</f>
        <v>1.2912000000000001</v>
      </c>
      <c r="AN20" s="1022">
        <f>IF(ISNUMBER('Resol  Asuntos'!D20/NºAsuntos!G20),'Resol  Asuntos'!D20/NºAsuntos!G20," - ")</f>
        <v>0.14560000000000001</v>
      </c>
      <c r="AO20" s="1023">
        <f>IF(ISNUMBER((NºAsuntos!C20+NºAsuntos!E20)/NºAsuntos!G20),(NºAsuntos!C20+NºAsuntos!E20)/NºAsuntos!G20," - ")</f>
        <v>1.4144000000000001</v>
      </c>
      <c r="AP20" s="1024" t="str">
        <f t="shared" si="2"/>
        <v xml:space="preserve"> - </v>
      </c>
      <c r="AQ20" s="1024">
        <f>IF(ISNUMBER((H20-W20+K20)/(F20)),(H20-W20+K20)/(F20)," - ")</f>
        <v>-2.6709401709401708</v>
      </c>
      <c r="AR20" s="1025">
        <f>IF(ISNUMBER((Datos!P20-Datos!Q20)/(Datos!R20-Datos!P20+Datos!Q20)),(Datos!P20-Datos!Q20)/(Datos!R20-Datos!P20+Datos!Q20)," - ")</f>
        <v>-0.43396226415094341</v>
      </c>
      <c r="AS20" s="1011">
        <f>SUBTOTAL(9,AS15:AS19)</f>
        <v>0</v>
      </c>
      <c r="AT20" s="1011">
        <f>SUBTOTAL(9,AT15:AT19)</f>
        <v>0</v>
      </c>
      <c r="AU20" s="1011">
        <f>SUBTOTAL(9,AU15:AU19)</f>
        <v>0</v>
      </c>
      <c r="AV20" s="1011">
        <f>SUBTOTAL(9,AV15:AV19)</f>
        <v>0</v>
      </c>
      <c r="AW20" s="1011">
        <f>SUBTOTAL(9,AW15:AW19)</f>
        <v>0</v>
      </c>
      <c r="AX20" s="1026"/>
      <c r="AY20" s="1011">
        <f>SUBTOTAL(9,AY15:AY19)</f>
        <v>0</v>
      </c>
      <c r="AZ20" s="1142" t="e">
        <f>SUBTOTAL(9,AZ15:AZ19)</f>
        <v>#VALUE!</v>
      </c>
      <c r="BF20" s="156">
        <f t="shared" ref="BF20:BM20" si="14">SUM(BF15:BF19)</f>
        <v>0</v>
      </c>
      <c r="BG20" s="156">
        <f t="shared" si="14"/>
        <v>0</v>
      </c>
      <c r="BH20" s="156">
        <f t="shared" si="14"/>
        <v>0</v>
      </c>
      <c r="BI20" s="156">
        <f t="shared" si="14"/>
        <v>0</v>
      </c>
      <c r="BJ20" s="156">
        <f t="shared" si="14"/>
        <v>0</v>
      </c>
      <c r="BK20" s="156">
        <f t="shared" si="14"/>
        <v>0</v>
      </c>
      <c r="BL20" s="156">
        <f t="shared" si="14"/>
        <v>0</v>
      </c>
      <c r="BM20" s="156">
        <f t="shared" si="14"/>
        <v>0</v>
      </c>
    </row>
    <row r="21" spans="1:65" ht="18.75" customHeight="1" thickTop="1" thickBot="1">
      <c r="A21" s="177"/>
      <c r="B21" s="177"/>
      <c r="C21" s="965" t="str">
        <f>Datos!A21</f>
        <v>TOTAL JURISDICCIONES</v>
      </c>
      <c r="D21" s="966"/>
      <c r="E21" s="1331">
        <f t="shared" ref="E21:O21" si="15">SUBTOTAL(9,E9:E20)</f>
        <v>4</v>
      </c>
      <c r="F21" s="967">
        <f t="shared" si="15"/>
        <v>235</v>
      </c>
      <c r="G21" s="968">
        <f t="shared" si="15"/>
        <v>239</v>
      </c>
      <c r="H21" s="967">
        <f t="shared" si="15"/>
        <v>0</v>
      </c>
      <c r="I21" s="969">
        <f t="shared" si="15"/>
        <v>0</v>
      </c>
      <c r="J21" s="969">
        <f t="shared" si="15"/>
        <v>0</v>
      </c>
      <c r="K21" s="1028">
        <f t="shared" si="15"/>
        <v>0</v>
      </c>
      <c r="L21" s="969">
        <f t="shared" si="15"/>
        <v>86</v>
      </c>
      <c r="M21" s="969">
        <f t="shared" si="15"/>
        <v>0</v>
      </c>
      <c r="N21" s="969">
        <f t="shared" si="15"/>
        <v>0</v>
      </c>
      <c r="O21" s="969" t="e">
        <f t="shared" ca="1" si="15"/>
        <v>#VALUE!</v>
      </c>
      <c r="P21" s="1028" t="str">
        <f>IF(ISNUMBER((N21*factor_trimestre)/((Datos!BT21+Datos!BU21)/2)),(N21*factor_trimestre)/((Datos!BT21+Datos!BU21)/2)," - ")</f>
        <v xml:space="preserve"> - </v>
      </c>
      <c r="Q21" s="1029" t="str">
        <f>IF(ISNUMBER((N21*factor_trimestre)/((Datos!BT21+Datos!BU21)/2)),(N21*factor_trimestre)/((Datos!BT21+Datos!BU21)/2)," - ")</f>
        <v xml:space="preserve"> - </v>
      </c>
      <c r="R21" s="969">
        <f>SUBTOTAL(9,R9:R20)</f>
        <v>0</v>
      </c>
      <c r="S21" s="967">
        <f>SUBTOTAL(9,S9:S20)</f>
        <v>0</v>
      </c>
      <c r="T21" s="973" t="str">
        <f>IF(ISNUMBER((S21*factor_trimestre)/DatosB!CN21),(S21*factor_trimestre)/DatosB!CN21,"-")</f>
        <v>-</v>
      </c>
      <c r="U21" s="977" t="e">
        <f ca="1">SUBTOTAL(9,U9:U20)</f>
        <v>#VALUE!</v>
      </c>
      <c r="V21" s="1030" t="str">
        <f ca="1">IF(ISNUMBER((U21*factor_trimestre)/DatosB!CN21),(U21*factor_trimestre)/DatosB!CN21,"-")</f>
        <v>-</v>
      </c>
      <c r="W21" s="968">
        <f t="shared" ref="W21:AK21" si="16">SUBTOTAL(9,W9:W20)</f>
        <v>626</v>
      </c>
      <c r="X21" s="968">
        <f t="shared" si="16"/>
        <v>65</v>
      </c>
      <c r="Y21" s="975">
        <f t="shared" si="16"/>
        <v>691</v>
      </c>
      <c r="Z21" s="975">
        <f t="shared" si="16"/>
        <v>0</v>
      </c>
      <c r="AA21" s="975">
        <f t="shared" si="16"/>
        <v>271</v>
      </c>
      <c r="AB21" s="975">
        <f t="shared" si="16"/>
        <v>1393</v>
      </c>
      <c r="AC21" s="975">
        <f t="shared" si="16"/>
        <v>308</v>
      </c>
      <c r="AD21" s="975">
        <f t="shared" si="16"/>
        <v>0</v>
      </c>
      <c r="AE21" s="977">
        <f t="shared" si="16"/>
        <v>0</v>
      </c>
      <c r="AF21" s="978">
        <f t="shared" si="16"/>
        <v>0</v>
      </c>
      <c r="AG21" s="979">
        <f t="shared" si="16"/>
        <v>0</v>
      </c>
      <c r="AH21" s="977">
        <f t="shared" si="16"/>
        <v>0</v>
      </c>
      <c r="AI21" s="967">
        <f t="shared" si="16"/>
        <v>175</v>
      </c>
      <c r="AJ21" s="967">
        <f t="shared" si="16"/>
        <v>0</v>
      </c>
      <c r="AK21" s="977">
        <f t="shared" si="16"/>
        <v>0</v>
      </c>
      <c r="AL21" s="1031">
        <f>IF(ISNUMBER(NºAsuntos!G21/NºAsuntos!E21),NºAsuntos!G21/NºAsuntos!E21," - ")</f>
        <v>0.93718843469591229</v>
      </c>
      <c r="AM21" s="1032">
        <f>IF(ISNUMBER(((NºAsuntos!I21/NºAsuntos!G21)*11)/factor_trimestre),((NºAsuntos!I21/NºAsuntos!G21)*11)/factor_trimestre," - ")</f>
        <v>4.298936170212766</v>
      </c>
      <c r="AN21" s="1032">
        <f>IF(ISNUMBER('Resol  Asuntos'!D21/NºAsuntos!G21),'Resol  Asuntos'!D21/NºAsuntos!G21," - ")</f>
        <v>0.18617021276595744</v>
      </c>
      <c r="AO21" s="1033">
        <f>IF(ISNUMBER((NºAsuntos!C21+NºAsuntos!E21)/NºAsuntos!G21),(NºAsuntos!C21+NºAsuntos!E21)/NºAsuntos!G21," - ")</f>
        <v>2.4223404255319148</v>
      </c>
      <c r="AP21" s="1034" t="str">
        <f t="shared" si="2"/>
        <v xml:space="preserve"> - </v>
      </c>
      <c r="AQ21" s="1035">
        <f>IF(OR(ISNUMBER(FIND("01",Criterios!A8,1)),ISNUMBER(FIND("02",Criterios!A8,1)),ISNUMBER(FIND("03",Criterios!A8,1)),ISNUMBER(FIND("04",Criterios!A8,1))),(I21-W21+K21)/(F21-K21),(H21-W21+K21)/(F21-K21))</f>
        <v>-2.6638297872340426</v>
      </c>
      <c r="AR21" s="1036">
        <f>IF(ISNUMBER((Datos!P21-Datos!Q21)/(Datos!R21-Datos!P21+Datos!Q21)),(Datos!P21-Datos!Q21)/(Datos!R21-Datos!P21+Datos!Q21)," - ")</f>
        <v>1.5306122448979591E-2</v>
      </c>
      <c r="AS21" s="982">
        <f>SUBTOTAL(9,AS9:AS20)</f>
        <v>0</v>
      </c>
      <c r="AT21" s="1027">
        <f>SUBTOTAL(9,AT9:AT20)</f>
        <v>0</v>
      </c>
      <c r="AU21" s="1027">
        <f>SUBTOTAL(9,AU9:AU20)</f>
        <v>0</v>
      </c>
      <c r="AV21" s="1027">
        <f>SUBTOTAL(9,AV9:AV20)</f>
        <v>0</v>
      </c>
      <c r="AW21" s="1027">
        <f>SUBTOTAL(9,AW9:AW20)</f>
        <v>0</v>
      </c>
      <c r="AX21" s="983"/>
      <c r="AY21" s="1027">
        <f>SUBTOTAL(9,AY9:AY20)</f>
        <v>0</v>
      </c>
      <c r="AZ21" s="1143" t="e">
        <f>SUBTOTAL(9,AZ9:AZ20)</f>
        <v>#VALUE!</v>
      </c>
      <c r="BF21" s="158">
        <f t="shared" ref="BF21:BM21" si="17">SUM(BF9:BF20)</f>
        <v>0</v>
      </c>
      <c r="BG21" s="158">
        <f t="shared" si="17"/>
        <v>0</v>
      </c>
      <c r="BH21" s="158">
        <f t="shared" si="17"/>
        <v>0</v>
      </c>
      <c r="BI21" s="158">
        <f t="shared" si="17"/>
        <v>0</v>
      </c>
      <c r="BJ21" s="158">
        <f t="shared" si="17"/>
        <v>0</v>
      </c>
      <c r="BK21" s="158">
        <f t="shared" si="17"/>
        <v>0</v>
      </c>
      <c r="BL21" s="158">
        <f t="shared" si="17"/>
        <v>0</v>
      </c>
      <c r="BM21" s="158">
        <f t="shared" si="17"/>
        <v>0</v>
      </c>
    </row>
    <row r="22" spans="1:65" ht="18.75" customHeight="1" thickTop="1" thickBot="1">
      <c r="A22" s="172"/>
      <c r="B22" s="172"/>
      <c r="C22" s="985" t="s">
        <v>291</v>
      </c>
      <c r="D22" s="986"/>
      <c r="E22" s="1332">
        <f ca="1">IF(ISNUMBER(SUMIF($B8:$B20,$B22,E8:E20)/INDIRECT("Datos!AP"&amp;ROW()-1)),SUMIF($B8:$B20,$B22,E8:E20)/INDIRECT("Datos!AP"&amp;ROW()-1),"-")</f>
        <v>0</v>
      </c>
      <c r="F22" s="960">
        <f ca="1">IF(ISNUMBER(SUMIF($B8:$B20,$B22,F8:F20)/INDIRECT("Datos!AP"&amp;ROW()-1)),SUMIF($B8:$B20,$B22,F8:F20)/INDIRECT("Datos!AP"&amp;ROW()-1),"-")</f>
        <v>0</v>
      </c>
      <c r="G22" s="961">
        <f>IF(ISNUMBER(AVERAGE(G8:G20)),AVERAGE(G8:G20),"-")</f>
        <v>95.6</v>
      </c>
      <c r="H22" s="960">
        <f t="shared" ref="H22:AO22" ca="1" si="18">IF(ISNUMBER(SUMIF($B8:$B20,$B22,H8:H20)/INDIRECT("Datos!AP"&amp;ROW()-1)),SUMIF($B8:$B20,$B22,H8:H20)/INDIRECT("Datos!AP"&amp;ROW()-1),"-")</f>
        <v>0</v>
      </c>
      <c r="I22" s="962">
        <f t="shared" ca="1" si="18"/>
        <v>0</v>
      </c>
      <c r="J22" s="962">
        <f t="shared" ca="1" si="18"/>
        <v>0</v>
      </c>
      <c r="K22" s="962">
        <f t="shared" ca="1" si="18"/>
        <v>0</v>
      </c>
      <c r="L22" s="962">
        <f t="shared" ca="1" si="18"/>
        <v>0</v>
      </c>
      <c r="M22" s="962">
        <f t="shared" ca="1" si="18"/>
        <v>0</v>
      </c>
      <c r="N22" s="962">
        <f t="shared" ca="1" si="18"/>
        <v>0</v>
      </c>
      <c r="O22" s="962">
        <f t="shared" ca="1" si="18"/>
        <v>0</v>
      </c>
      <c r="P22" s="971">
        <f t="shared" ca="1" si="18"/>
        <v>0</v>
      </c>
      <c r="Q22" s="971">
        <f t="shared" ca="1" si="18"/>
        <v>0</v>
      </c>
      <c r="R22" s="962">
        <f t="shared" ca="1" si="18"/>
        <v>0</v>
      </c>
      <c r="S22" s="960">
        <f t="shared" ca="1" si="18"/>
        <v>0</v>
      </c>
      <c r="T22" s="1038">
        <f t="shared" ca="1" si="18"/>
        <v>0</v>
      </c>
      <c r="U22" s="962">
        <f t="shared" ca="1" si="18"/>
        <v>0</v>
      </c>
      <c r="V22" s="1038">
        <f t="shared" ca="1" si="18"/>
        <v>0</v>
      </c>
      <c r="W22" s="961">
        <f t="shared" ca="1" si="18"/>
        <v>0</v>
      </c>
      <c r="X22" s="961">
        <f t="shared" ca="1" si="18"/>
        <v>0</v>
      </c>
      <c r="Y22" s="1039">
        <f t="shared" ca="1" si="18"/>
        <v>0</v>
      </c>
      <c r="Z22" s="1039">
        <f t="shared" ca="1" si="18"/>
        <v>0</v>
      </c>
      <c r="AA22" s="1039">
        <f t="shared" ca="1" si="18"/>
        <v>0</v>
      </c>
      <c r="AB22" s="1039">
        <f t="shared" ca="1" si="18"/>
        <v>0</v>
      </c>
      <c r="AC22" s="1039">
        <f t="shared" ca="1" si="18"/>
        <v>0</v>
      </c>
      <c r="AD22" s="1039">
        <f t="shared" ca="1" si="18"/>
        <v>0</v>
      </c>
      <c r="AE22" s="962">
        <f t="shared" ca="1" si="18"/>
        <v>0</v>
      </c>
      <c r="AF22" s="990">
        <f t="shared" ca="1" si="18"/>
        <v>0</v>
      </c>
      <c r="AG22" s="989">
        <f t="shared" ca="1" si="18"/>
        <v>0</v>
      </c>
      <c r="AH22" s="962">
        <f t="shared" ca="1" si="18"/>
        <v>0</v>
      </c>
      <c r="AI22" s="960">
        <f t="shared" ca="1" si="18"/>
        <v>0</v>
      </c>
      <c r="AJ22" s="960">
        <f t="shared" ca="1" si="18"/>
        <v>0</v>
      </c>
      <c r="AK22" s="962">
        <f t="shared" ca="1" si="18"/>
        <v>0</v>
      </c>
      <c r="AL22" s="960">
        <f t="shared" ca="1" si="18"/>
        <v>0</v>
      </c>
      <c r="AM22" s="961">
        <f t="shared" ca="1" si="18"/>
        <v>0</v>
      </c>
      <c r="AN22" s="961">
        <f t="shared" ca="1" si="18"/>
        <v>0</v>
      </c>
      <c r="AO22" s="962">
        <f t="shared" ca="1" si="18"/>
        <v>0</v>
      </c>
      <c r="AP22" s="1040" t="str">
        <f t="shared" ca="1" si="2"/>
        <v xml:space="preserve"> - </v>
      </c>
      <c r="AQ22" s="1035" t="e">
        <f ca="1">IF(OR(ISNUMBER(FIND("01",Criterios!A8,1)),ISNUMBER(FIND("02",Criterios!A8,1)),ISNUMBER(FIND("03",Criterios!A8,1)),ISNUMBER(FIND("04",Criterios!A8,1))),(I22-W22+K22)/(F22-K22),(H22-W22+K22)/(F22-K22))</f>
        <v>#DIV/0!</v>
      </c>
      <c r="AR22" s="1041">
        <f t="shared" ref="AR22:AW22" ca="1" si="19">IF(ISNUMBER(SUMIF($B8:$B20,$B22,AR8:AR20)/INDIRECT("Datos!AP"&amp;ROW()-1)),SUMIF($B8:$B20,$B22,AR8:AR20)/INDIRECT("Datos!AP"&amp;ROW()-1),"-")</f>
        <v>0</v>
      </c>
      <c r="AS22" s="1042">
        <f t="shared" ca="1" si="19"/>
        <v>0</v>
      </c>
      <c r="AT22" s="1037">
        <f t="shared" ca="1" si="19"/>
        <v>0</v>
      </c>
      <c r="AU22" s="1037">
        <f t="shared" ca="1" si="19"/>
        <v>0</v>
      </c>
      <c r="AV22" s="1037">
        <f t="shared" ca="1" si="19"/>
        <v>0</v>
      </c>
      <c r="AW22" s="1037">
        <f t="shared" ca="1" si="19"/>
        <v>0</v>
      </c>
      <c r="AX22" s="1043"/>
      <c r="AY22" s="962">
        <f ca="1">IF(ISNUMBER(SUMIF($B8:$B20,$B22,AY8:AY20)/INDIRECT("Datos!AP"&amp;ROW()-1)),SUMIF($B8:$B20,$B22,AY8:AY20)/INDIRECT("Datos!AP"&amp;ROW()-1),"-")</f>
        <v>0</v>
      </c>
      <c r="AZ22" s="1144">
        <f ca="1">IF(ISNUMBER(SUMIF($B8:$B20,$B22,AZ8:AZ20)/INDIRECT("Datos!AP"&amp;ROW()-1)),SUMIF($B8:$B20,$B22,AZ8:AZ20)/INDIRECT("Datos!AP"&amp;ROW()-1),"-")</f>
        <v>0</v>
      </c>
    </row>
    <row r="23" spans="1:65" ht="18.75" hidden="1" customHeight="1" thickTop="1" thickBot="1">
      <c r="A23" s="173"/>
      <c r="B23" s="173"/>
      <c r="C23" s="173" t="s">
        <v>292</v>
      </c>
      <c r="D23" s="351"/>
      <c r="E23" s="288">
        <f>IF(ISNUMBER(STDEV(E8:E20)),STDEV(E8:E20),"-")</f>
        <v>1.009049958219026</v>
      </c>
      <c r="F23" s="257">
        <f>IF(ISNUMBER(STDEV(F8:F20)),STDEV(F8:F20),"-")</f>
        <v>134.52261272118281</v>
      </c>
      <c r="G23" s="258">
        <f>IF(ISNUMBER(STDEV(G8:G20)),STDEV(G8:G20),"-")</f>
        <v>123.81558867929353</v>
      </c>
      <c r="H23" s="257">
        <f>IF(ISNUMBER(STDEV(H8:H20)),STDEV(H8:H20),"-")</f>
        <v>0</v>
      </c>
      <c r="I23" s="259">
        <f>IF(ISNUMBER(STDEV(I8:I20)),STDEV(I8:I20),"-")</f>
        <v>0</v>
      </c>
      <c r="J23" s="258"/>
      <c r="K23" s="258"/>
      <c r="L23" s="258"/>
      <c r="M23" s="258"/>
      <c r="N23" s="258"/>
      <c r="O23" s="258"/>
      <c r="P23" s="258"/>
      <c r="Q23" s="258"/>
      <c r="R23" s="258"/>
      <c r="S23" s="257">
        <f>IF(ISNUMBER(STDEV(S8:S20)),STDEV(S8:S20),"-")</f>
        <v>0</v>
      </c>
      <c r="T23" s="318">
        <f>IF(ISNUMBER(STDEV(T8:T20)),STDEV(T8:T20),"-")</f>
        <v>0</v>
      </c>
      <c r="U23" s="259" t="str">
        <f ca="1">IF(ISNUMBER(STDEV(U8:U20)),STDEV(U8:U20),"-")</f>
        <v>-</v>
      </c>
      <c r="V23" s="287"/>
      <c r="W23" s="258">
        <f>IF(ISNUMBER(STDEV(W8:W20)),STDEV(W8:W20),"-")</f>
        <v>333.43785028097813</v>
      </c>
      <c r="X23" s="287"/>
      <c r="Y23" s="287"/>
      <c r="Z23" s="287"/>
      <c r="AA23" s="287"/>
      <c r="AB23" s="287"/>
      <c r="AC23" s="287"/>
      <c r="AD23" s="287"/>
      <c r="AE23" s="259">
        <f>IF(ISNUMBER(STDEV(AE8:AE20)),STDEV(AE8:AE20),"-")</f>
        <v>0</v>
      </c>
      <c r="AF23" s="260">
        <f>IF(ISNUMBER(STDEV(AF8:AF20)),STDEV(AF8:AF20),"-")</f>
        <v>0</v>
      </c>
      <c r="AG23" s="287">
        <f>IF(ISNUMBER(STDEV(AG8:AG20)),STDEV(AG8:AG20),"-")</f>
        <v>0</v>
      </c>
      <c r="AH23" s="302"/>
      <c r="AI23" s="257">
        <f t="shared" ref="AI23:AQ23" si="20">IF(ISNUMBER(STDEV(AI8:AI20)),STDEV(AI8:AI20),"-")</f>
        <v>42.968205299577811</v>
      </c>
      <c r="AJ23" s="257">
        <f t="shared" si="20"/>
        <v>0</v>
      </c>
      <c r="AK23" s="259">
        <f t="shared" si="20"/>
        <v>0</v>
      </c>
      <c r="AL23" s="254">
        <f t="shared" si="20"/>
        <v>0.17648369877585204</v>
      </c>
      <c r="AM23" s="255">
        <f t="shared" si="20"/>
        <v>4.1907379061099679</v>
      </c>
      <c r="AN23" s="255">
        <f t="shared" si="20"/>
        <v>0.32537615235141915</v>
      </c>
      <c r="AO23" s="256">
        <f t="shared" si="20"/>
        <v>1.4032550543176279</v>
      </c>
      <c r="AP23" s="296" t="str">
        <f t="shared" si="20"/>
        <v>-</v>
      </c>
      <c r="AQ23" s="297">
        <f t="shared" si="20"/>
        <v>1.1815331258288033</v>
      </c>
      <c r="AR23" s="311"/>
      <c r="AS23" s="315">
        <f t="shared" ref="AS23:AX23" si="21">IF(ISNUMBER(STDEV(AS8:AS20)),STDEV(AS8:AS20),"-")</f>
        <v>0</v>
      </c>
      <c r="AT23" s="288">
        <f t="shared" si="21"/>
        <v>0</v>
      </c>
      <c r="AU23" s="288">
        <f t="shared" si="21"/>
        <v>0</v>
      </c>
      <c r="AV23" s="288">
        <f t="shared" si="21"/>
        <v>0</v>
      </c>
      <c r="AW23" s="288">
        <f t="shared" si="21"/>
        <v>0</v>
      </c>
      <c r="AX23" s="306">
        <f t="shared" si="21"/>
        <v>0</v>
      </c>
      <c r="AY23" s="306"/>
      <c r="AZ23" s="1145"/>
    </row>
    <row r="24" spans="1:65" ht="12" customHeight="1" thickTop="1">
      <c r="C24" s="75"/>
      <c r="D24" s="75"/>
      <c r="T24" s="319"/>
      <c r="AQ24" t="s">
        <v>466</v>
      </c>
      <c r="AR24" s="312"/>
      <c r="AS24" s="316"/>
      <c r="AX24" s="97"/>
      <c r="AY24" s="97"/>
      <c r="AZ24" s="710"/>
    </row>
    <row r="25" spans="1:65">
      <c r="C25" s="165"/>
      <c r="D25" s="352"/>
      <c r="E25" s="146"/>
      <c r="F25" s="148"/>
      <c r="G25" s="150"/>
      <c r="H25" s="149"/>
      <c r="I25" s="149"/>
      <c r="J25" s="146"/>
      <c r="K25" s="146"/>
      <c r="L25" s="146"/>
      <c r="M25" s="146"/>
      <c r="N25" s="146"/>
      <c r="O25" s="146"/>
      <c r="P25" s="146"/>
      <c r="Q25" s="146"/>
      <c r="R25" s="146"/>
      <c r="S25" s="146"/>
      <c r="T25" s="320"/>
      <c r="U25" s="146"/>
      <c r="V25" s="146"/>
      <c r="W25" s="149"/>
      <c r="X25" s="262"/>
      <c r="Y25" s="262"/>
      <c r="Z25" s="262"/>
      <c r="AA25" s="262"/>
      <c r="AB25" s="262"/>
      <c r="AC25" s="262"/>
      <c r="AD25" s="262"/>
      <c r="AE25" s="149"/>
      <c r="AF25" s="149"/>
      <c r="AG25" s="149"/>
      <c r="AH25" s="149"/>
      <c r="AI25" s="149"/>
      <c r="AJ25" s="149"/>
      <c r="AK25" s="149"/>
      <c r="AL25" s="149"/>
      <c r="AM25" s="146"/>
      <c r="AN25" s="146"/>
      <c r="AO25" s="146"/>
      <c r="AP25" s="170"/>
      <c r="AQ25" s="170"/>
      <c r="AR25" s="313"/>
      <c r="AS25" s="317"/>
      <c r="AT25" s="146"/>
      <c r="AU25" s="146"/>
      <c r="AV25" s="146"/>
      <c r="AW25" s="146"/>
      <c r="AX25" s="307"/>
      <c r="AY25" s="307"/>
      <c r="AZ25" s="300"/>
    </row>
    <row r="26" spans="1:65">
      <c r="C26" s="7"/>
      <c r="D26" s="353"/>
      <c r="E26" s="146"/>
      <c r="F26" s="148"/>
      <c r="G26" s="150"/>
      <c r="H26" s="149"/>
      <c r="I26" s="149"/>
      <c r="J26" s="146"/>
      <c r="K26" s="146"/>
      <c r="L26" s="146"/>
      <c r="M26" s="146"/>
      <c r="N26" s="146"/>
      <c r="O26" s="146"/>
      <c r="P26" s="146"/>
      <c r="Q26" s="146"/>
      <c r="R26" s="146"/>
      <c r="S26" s="146"/>
      <c r="T26" s="320"/>
      <c r="U26" s="146"/>
      <c r="V26" s="146"/>
      <c r="W26" s="149"/>
      <c r="X26" s="262"/>
      <c r="Y26" s="262"/>
      <c r="Z26" s="262"/>
      <c r="AA26" s="262"/>
      <c r="AB26" s="262"/>
      <c r="AC26" s="262"/>
      <c r="AD26" s="262"/>
      <c r="AE26" s="149"/>
      <c r="AF26" s="149"/>
      <c r="AG26" s="149"/>
      <c r="AH26" s="149"/>
      <c r="AI26" s="149"/>
      <c r="AJ26" s="149"/>
      <c r="AK26" s="149"/>
      <c r="AL26" s="149"/>
      <c r="AM26" s="146"/>
      <c r="AN26" s="146"/>
      <c r="AO26" s="146"/>
      <c r="AP26" s="170"/>
      <c r="AQ26" s="170"/>
      <c r="AR26" s="313"/>
      <c r="AS26" s="317"/>
      <c r="AT26" s="146"/>
      <c r="AU26" s="146"/>
      <c r="AV26" s="146"/>
      <c r="AW26" s="146"/>
      <c r="AX26" s="307"/>
      <c r="AY26" s="307"/>
      <c r="AZ26" s="300"/>
    </row>
    <row r="27" spans="1:65" ht="12.75" hidden="1" customHeight="1">
      <c r="C27" s="299" t="s">
        <v>289</v>
      </c>
      <c r="D27" s="353"/>
      <c r="E27" s="150">
        <f>E25+2*E26</f>
        <v>0</v>
      </c>
      <c r="F27" s="150">
        <f>F25+2*F26</f>
        <v>0</v>
      </c>
      <c r="G27" s="148">
        <f>G25+2*G26</f>
        <v>0</v>
      </c>
      <c r="H27" s="147">
        <f>H25+2*H26</f>
        <v>0</v>
      </c>
      <c r="I27" s="147">
        <f>I25+2*I26</f>
        <v>0</v>
      </c>
      <c r="J27" s="147">
        <f t="shared" ref="J27:U27" si="22">J25+2*J26</f>
        <v>0</v>
      </c>
      <c r="K27" s="147">
        <f>K25+2*K26</f>
        <v>0</v>
      </c>
      <c r="L27" s="147">
        <f t="shared" si="22"/>
        <v>0</v>
      </c>
      <c r="M27" s="147">
        <f t="shared" si="22"/>
        <v>0</v>
      </c>
      <c r="N27" s="147">
        <f t="shared" si="22"/>
        <v>0</v>
      </c>
      <c r="O27" s="147">
        <f>O25+2*O26</f>
        <v>0</v>
      </c>
      <c r="P27" s="147"/>
      <c r="Q27" s="321">
        <f t="shared" si="22"/>
        <v>0</v>
      </c>
      <c r="R27" s="147">
        <f t="shared" si="22"/>
        <v>0</v>
      </c>
      <c r="S27" s="148">
        <f t="shared" si="22"/>
        <v>0</v>
      </c>
      <c r="T27" s="341">
        <f t="shared" si="22"/>
        <v>0</v>
      </c>
      <c r="U27" s="148">
        <f t="shared" si="22"/>
        <v>0</v>
      </c>
      <c r="V27" s="148"/>
      <c r="W27" s="148">
        <f t="shared" ref="W27:AH27" si="23">W25+2*W26</f>
        <v>0</v>
      </c>
      <c r="X27" s="148">
        <f t="shared" si="23"/>
        <v>0</v>
      </c>
      <c r="Y27" s="148">
        <f t="shared" si="23"/>
        <v>0</v>
      </c>
      <c r="Z27" s="148">
        <f t="shared" si="23"/>
        <v>0</v>
      </c>
      <c r="AA27" s="148">
        <f t="shared" si="23"/>
        <v>0</v>
      </c>
      <c r="AB27" s="148">
        <f t="shared" si="23"/>
        <v>0</v>
      </c>
      <c r="AC27" s="148">
        <f t="shared" si="23"/>
        <v>0</v>
      </c>
      <c r="AD27" s="148">
        <f t="shared" si="23"/>
        <v>0</v>
      </c>
      <c r="AE27" s="148">
        <f t="shared" si="23"/>
        <v>0</v>
      </c>
      <c r="AF27" s="148">
        <f t="shared" si="23"/>
        <v>0</v>
      </c>
      <c r="AG27" s="148">
        <f t="shared" si="23"/>
        <v>0</v>
      </c>
      <c r="AH27" s="148">
        <f t="shared" si="23"/>
        <v>0</v>
      </c>
      <c r="AI27" s="148">
        <f t="shared" ref="AI27:AS27" si="24">AI25+2*AI26</f>
        <v>0</v>
      </c>
      <c r="AJ27" s="148">
        <f t="shared" si="24"/>
        <v>0</v>
      </c>
      <c r="AK27" s="148">
        <f t="shared" si="24"/>
        <v>0</v>
      </c>
      <c r="AL27" s="261">
        <f t="shared" si="24"/>
        <v>0</v>
      </c>
      <c r="AM27" s="261">
        <f t="shared" si="24"/>
        <v>0</v>
      </c>
      <c r="AN27" s="261">
        <f t="shared" si="24"/>
        <v>0</v>
      </c>
      <c r="AO27" s="261">
        <f t="shared" si="24"/>
        <v>0</v>
      </c>
      <c r="AP27" s="148">
        <f t="shared" si="24"/>
        <v>0</v>
      </c>
      <c r="AQ27" s="148">
        <f t="shared" si="24"/>
        <v>0</v>
      </c>
      <c r="AR27" s="148">
        <f t="shared" si="24"/>
        <v>0</v>
      </c>
      <c r="AS27" s="148">
        <f t="shared" si="24"/>
        <v>0</v>
      </c>
      <c r="AT27" s="148">
        <f>AT25+2*AT26</f>
        <v>0</v>
      </c>
      <c r="AU27" s="148">
        <f>AU25+2*AU26</f>
        <v>0</v>
      </c>
      <c r="AV27" s="148">
        <f>AV25+2*AV26</f>
        <v>0</v>
      </c>
      <c r="AW27" s="148">
        <f>AW25+2*AW26</f>
        <v>0</v>
      </c>
      <c r="AX27" s="148">
        <f>AX25+2*AX26</f>
        <v>0</v>
      </c>
    </row>
    <row r="28" spans="1:65" ht="12.75" hidden="1" customHeight="1">
      <c r="C28" s="299" t="s">
        <v>290</v>
      </c>
      <c r="D28" s="353"/>
      <c r="E28" s="150">
        <f>MIN(0,E25-2*E26)</f>
        <v>0</v>
      </c>
      <c r="F28" s="150">
        <f>MIN(0,F25-2*F26)</f>
        <v>0</v>
      </c>
      <c r="G28" s="148">
        <f>MIN(0,G25-2*G26)</f>
        <v>0</v>
      </c>
      <c r="H28" s="148">
        <f>MIN(0,H25-2*H26)</f>
        <v>0</v>
      </c>
      <c r="I28" s="148">
        <f>MIN(0,I25-2*I26)</f>
        <v>0</v>
      </c>
      <c r="J28" s="148">
        <f t="shared" ref="J28:U28" si="25">MIN(0,J25-2*J26)</f>
        <v>0</v>
      </c>
      <c r="K28" s="148">
        <f>MIN(0,K25-2*K26)</f>
        <v>0</v>
      </c>
      <c r="L28" s="148">
        <f t="shared" si="25"/>
        <v>0</v>
      </c>
      <c r="M28" s="148">
        <f t="shared" si="25"/>
        <v>0</v>
      </c>
      <c r="N28" s="148">
        <f t="shared" si="25"/>
        <v>0</v>
      </c>
      <c r="O28" s="148">
        <f>MIN(0,O25-2*O26)</f>
        <v>0</v>
      </c>
      <c r="P28" s="148"/>
      <c r="Q28" s="163">
        <f t="shared" si="25"/>
        <v>0</v>
      </c>
      <c r="R28" s="148">
        <f t="shared" si="25"/>
        <v>0</v>
      </c>
      <c r="S28" s="148">
        <f t="shared" si="25"/>
        <v>0</v>
      </c>
      <c r="T28" s="341">
        <f t="shared" si="25"/>
        <v>0</v>
      </c>
      <c r="U28" s="148">
        <f t="shared" si="25"/>
        <v>0</v>
      </c>
      <c r="V28" s="148"/>
      <c r="W28" s="148">
        <f t="shared" ref="W28:AG28" si="26">MIN(0,W25-2*W26)</f>
        <v>0</v>
      </c>
      <c r="X28" s="148">
        <f t="shared" si="26"/>
        <v>0</v>
      </c>
      <c r="Y28" s="148">
        <f t="shared" si="26"/>
        <v>0</v>
      </c>
      <c r="Z28" s="148">
        <f t="shared" si="26"/>
        <v>0</v>
      </c>
      <c r="AA28" s="148">
        <f t="shared" si="26"/>
        <v>0</v>
      </c>
      <c r="AB28" s="148">
        <f t="shared" si="26"/>
        <v>0</v>
      </c>
      <c r="AC28" s="148">
        <f t="shared" si="26"/>
        <v>0</v>
      </c>
      <c r="AD28" s="148">
        <f t="shared" si="26"/>
        <v>0</v>
      </c>
      <c r="AE28" s="148">
        <f t="shared" si="26"/>
        <v>0</v>
      </c>
      <c r="AF28" s="148">
        <f t="shared" si="26"/>
        <v>0</v>
      </c>
      <c r="AG28" s="148">
        <f t="shared" si="26"/>
        <v>0</v>
      </c>
      <c r="AH28" s="148">
        <f>MIN(0,AH25-2*AH26)</f>
        <v>0</v>
      </c>
      <c r="AI28" s="148">
        <f t="shared" ref="AI28:AS28" si="27">MIN(0,AI25-2*AI26)</f>
        <v>0</v>
      </c>
      <c r="AJ28" s="148">
        <f t="shared" si="27"/>
        <v>0</v>
      </c>
      <c r="AK28" s="148">
        <f t="shared" si="27"/>
        <v>0</v>
      </c>
      <c r="AL28" s="261">
        <f t="shared" si="27"/>
        <v>0</v>
      </c>
      <c r="AM28" s="261">
        <f t="shared" si="27"/>
        <v>0</v>
      </c>
      <c r="AN28" s="261">
        <f t="shared" si="27"/>
        <v>0</v>
      </c>
      <c r="AO28" s="261">
        <f t="shared" si="27"/>
        <v>0</v>
      </c>
      <c r="AP28" s="148">
        <f t="shared" si="27"/>
        <v>0</v>
      </c>
      <c r="AQ28" s="148">
        <f t="shared" si="27"/>
        <v>0</v>
      </c>
      <c r="AR28" s="148">
        <f t="shared" si="27"/>
        <v>0</v>
      </c>
      <c r="AS28" s="148">
        <f t="shared" si="27"/>
        <v>0</v>
      </c>
      <c r="AT28" s="148">
        <f>MIN(0,AT25-2*AT26)</f>
        <v>0</v>
      </c>
      <c r="AU28" s="148">
        <f>MIN(0,AU25-2*AU26)</f>
        <v>0</v>
      </c>
      <c r="AV28" s="148">
        <f>MIN(0,AV25-2*AV26)</f>
        <v>0</v>
      </c>
      <c r="AW28" s="148">
        <f>MIN(0,AW25-2*AW26)</f>
        <v>0</v>
      </c>
      <c r="AX28" s="148">
        <f>MIN(0,AX25-2*AX26)</f>
        <v>0</v>
      </c>
    </row>
    <row r="29" spans="1:65">
      <c r="C29" s="73"/>
      <c r="D29" s="73"/>
    </row>
    <row r="32" spans="1:65">
      <c r="C32" s="122" t="str">
        <f>Criterios!A4</f>
        <v>Fecha Informe: 06 jun. 2023</v>
      </c>
      <c r="D32" s="122"/>
    </row>
    <row r="34" spans="3:4">
      <c r="C34" s="1"/>
      <c r="D34" s="1"/>
    </row>
  </sheetData>
  <sheetProtection algorithmName="SHA-512" hashValue="0gxXnJr6ITT/9OA622mZfuEOtoHep0UGaEE1Io+3zYCDxjJogFLIGhrTAuaPebG3MYLdHja60eWv/MTWXaGEZg==" saltValue="e4DrCjrRddKx0O4JmTy/e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19">
    <cfRule type="expression" dxfId="1780" priority="303" stopIfTrue="1">
      <formula>IF(F9&lt;&gt;G9,TRUE,FALSE)</formula>
    </cfRule>
  </conditionalFormatting>
  <conditionalFormatting sqref="E9:E13 E16:E19">
    <cfRule type="cellIs" dxfId="1779" priority="249" stopIfTrue="1" operator="notBetween">
      <formula>$E$27</formula>
      <formula>$E$28</formula>
    </cfRule>
  </conditionalFormatting>
  <conditionalFormatting sqref="G10:G13 G16:G19">
    <cfRule type="cellIs" dxfId="1778" priority="305" stopIfTrue="1" operator="between">
      <formula>$G$27</formula>
      <formula>$G$28</formula>
    </cfRule>
  </conditionalFormatting>
  <conditionalFormatting sqref="W9:W13 W16:W19">
    <cfRule type="cellIs" dxfId="1777" priority="307" stopIfTrue="1" operator="notBetween">
      <formula>$W$27</formula>
      <formula>$W$28</formula>
    </cfRule>
  </conditionalFormatting>
  <conditionalFormatting sqref="AF9:AF13 AF16:AF19">
    <cfRule type="cellIs" dxfId="1776" priority="308" stopIfTrue="1" operator="notBetween">
      <formula>$AF$27</formula>
      <formula>$AF$28</formula>
    </cfRule>
  </conditionalFormatting>
  <conditionalFormatting sqref="AI9:AI13 AI16:AI19">
    <cfRule type="cellIs" dxfId="1775" priority="310" stopIfTrue="1" operator="notBetween">
      <formula>$AI$27</formula>
      <formula>$AI$28</formula>
    </cfRule>
  </conditionalFormatting>
  <conditionalFormatting sqref="AE9:AE13 AE16:AE19">
    <cfRule type="cellIs" dxfId="1774" priority="311" stopIfTrue="1" operator="notBetween">
      <formula>$AE$27</formula>
      <formula>$AE$28</formula>
    </cfRule>
  </conditionalFormatting>
  <conditionalFormatting sqref="AJ9:AJ13 AJ16:AJ19">
    <cfRule type="cellIs" dxfId="1773" priority="312" stopIfTrue="1" operator="notBetween">
      <formula>$AJ$27</formula>
      <formula>$AJ$28</formula>
    </cfRule>
  </conditionalFormatting>
  <conditionalFormatting sqref="AL9:AL13 AL16:AL19">
    <cfRule type="cellIs" dxfId="1772" priority="314" stopIfTrue="1" operator="notBetween">
      <formula>$AL$27</formula>
      <formula>$AL$28</formula>
    </cfRule>
  </conditionalFormatting>
  <conditionalFormatting sqref="AM9:AM13 AM16:AM19">
    <cfRule type="cellIs" dxfId="1771" priority="318" stopIfTrue="1" operator="notBetween">
      <formula>$AM$27</formula>
      <formula>$AM$28</formula>
    </cfRule>
  </conditionalFormatting>
  <conditionalFormatting sqref="AN9:AN13 AN16:AN19">
    <cfRule type="cellIs" dxfId="1770" priority="319" stopIfTrue="1" operator="notBetween">
      <formula>$AN$27</formula>
      <formula>$AN$28</formula>
    </cfRule>
  </conditionalFormatting>
  <conditionalFormatting sqref="AO9:AO13 AO16:AO19">
    <cfRule type="cellIs" dxfId="1769" priority="320" stopIfTrue="1" operator="notBetween">
      <formula>$AO$27</formula>
      <formula>$AO$28</formula>
    </cfRule>
  </conditionalFormatting>
  <conditionalFormatting sqref="F16:F19 F9:F13">
    <cfRule type="cellIs" dxfId="1768" priority="322" stopIfTrue="1" operator="notBetween">
      <formula>$F$27</formula>
      <formula>$F$28</formula>
    </cfRule>
  </conditionalFormatting>
  <conditionalFormatting sqref="AP9:AP13 AP16:AP19">
    <cfRule type="cellIs" dxfId="1767" priority="254" stopIfTrue="1" operator="notBetween">
      <formula>$AP$27</formula>
      <formula>$AP$28</formula>
    </cfRule>
  </conditionalFormatting>
  <conditionalFormatting sqref="AQ9:AQ13 AQ16:AQ19">
    <cfRule type="cellIs" dxfId="1766" priority="251" stopIfTrue="1" operator="notBetween">
      <formula>$AQ$27</formula>
      <formula>$AQ$28</formula>
    </cfRule>
  </conditionalFormatting>
  <conditionalFormatting sqref="AS16:AS19 AS9:AS13">
    <cfRule type="cellIs" dxfId="1765" priority="250" stopIfTrue="1" operator="notBetween">
      <formula>$AS$27</formula>
      <formula>$AS$28</formula>
    </cfRule>
  </conditionalFormatting>
  <conditionalFormatting sqref="AR9:AR13 AR16:AR19">
    <cfRule type="cellIs" dxfId="1764" priority="377" stopIfTrue="1" operator="notBetween">
      <formula>$AR$27</formula>
      <formula>$AR$28</formula>
    </cfRule>
  </conditionalFormatting>
  <conditionalFormatting sqref="AV9:AW13 AV16:AW19">
    <cfRule type="cellIs" dxfId="1763" priority="378" stopIfTrue="1" operator="notBetween">
      <formula>$AV$27</formula>
      <formula>$AV$28</formula>
    </cfRule>
  </conditionalFormatting>
  <conditionalFormatting sqref="BF9:BM13 BF16:BM19">
    <cfRule type="cellIs" dxfId="1762" priority="758" stopIfTrue="1" operator="equal">
      <formula>$A$33</formula>
    </cfRule>
  </conditionalFormatting>
  <conditionalFormatting sqref="BF8:BM8 BF14:BM15 BF20:BM21">
    <cfRule type="cellIs" dxfId="1761" priority="759" stopIfTrue="1" operator="equal">
      <formula>$A$33</formula>
    </cfRule>
  </conditionalFormatting>
  <conditionalFormatting sqref="N12">
    <cfRule type="cellIs" dxfId="1760" priority="769" stopIfTrue="1" operator="greaterThan">
      <formula>$BG$12</formula>
    </cfRule>
    <cfRule type="cellIs" dxfId="1759" priority="770" stopIfTrue="1" operator="lessThan">
      <formula>$BF$12</formula>
    </cfRule>
  </conditionalFormatting>
  <conditionalFormatting sqref="N9">
    <cfRule type="cellIs" dxfId="1758" priority="1265" stopIfTrue="1" operator="greaterThan">
      <formula>$BM$9</formula>
    </cfRule>
    <cfRule type="cellIs" dxfId="1757" priority="1266" stopIfTrue="1" operator="lessThan">
      <formula>$BL$9</formula>
    </cfRule>
  </conditionalFormatting>
  <conditionalFormatting sqref="N10">
    <cfRule type="cellIs" dxfId="1756" priority="1269" stopIfTrue="1" operator="greaterThan">
      <formula>$BM$10</formula>
    </cfRule>
    <cfRule type="cellIs" dxfId="1755" priority="1270" stopIfTrue="1" operator="lessThan">
      <formula>$BL$10</formula>
    </cfRule>
  </conditionalFormatting>
  <conditionalFormatting sqref="N11">
    <cfRule type="cellIs" dxfId="1754" priority="1273" stopIfTrue="1" operator="greaterThan">
      <formula>$BM$11</formula>
    </cfRule>
    <cfRule type="cellIs" dxfId="1753" priority="1274" stopIfTrue="1" operator="lessThan">
      <formula>$BL$11</formula>
    </cfRule>
  </conditionalFormatting>
  <conditionalFormatting sqref="N13">
    <cfRule type="cellIs" dxfId="1752" priority="1277" stopIfTrue="1" operator="greaterThan">
      <formula>$BM$13</formula>
    </cfRule>
    <cfRule type="cellIs" dxfId="1751" priority="1278" stopIfTrue="1" operator="lessThan">
      <formula>$BL$13</formula>
    </cfRule>
  </conditionalFormatting>
  <conditionalFormatting sqref="N16">
    <cfRule type="cellIs" dxfId="1750" priority="1289" stopIfTrue="1" operator="greaterThan">
      <formula>$BM$16</formula>
    </cfRule>
    <cfRule type="cellIs" dxfId="1749" priority="1290" stopIfTrue="1" operator="lessThan">
      <formula>$BL$16</formula>
    </cfRule>
  </conditionalFormatting>
  <conditionalFormatting sqref="L9:L13 L16:L19">
    <cfRule type="cellIs" dxfId="1748" priority="1343" stopIfTrue="1" operator="notBetween">
      <formula>$L$27</formula>
      <formula>$L$28</formula>
    </cfRule>
  </conditionalFormatting>
  <conditionalFormatting sqref="M9:M13 M16:M19">
    <cfRule type="cellIs" dxfId="1747" priority="1344" stopIfTrue="1" operator="notBetween">
      <formula>$M$27</formula>
      <formula>$M$28</formula>
    </cfRule>
  </conditionalFormatting>
  <conditionalFormatting sqref="P9:Q13 Q16:Q19">
    <cfRule type="cellIs" dxfId="1746" priority="1345" stopIfTrue="1" operator="notBetween">
      <formula>$Q$27</formula>
      <formula>$Q$28</formula>
    </cfRule>
  </conditionalFormatting>
  <conditionalFormatting sqref="R9:R13 R16:R19">
    <cfRule type="cellIs" dxfId="1745" priority="1346" stopIfTrue="1" operator="notBetween">
      <formula>$R$27</formula>
      <formula>$R$28</formula>
    </cfRule>
  </conditionalFormatting>
  <conditionalFormatting sqref="S9:S13 S16:S19">
    <cfRule type="cellIs" dxfId="1744" priority="1347" stopIfTrue="1" operator="notBetween">
      <formula>$S$27</formula>
      <formula>$S$28</formula>
    </cfRule>
  </conditionalFormatting>
  <conditionalFormatting sqref="T9:T13 T16:T19">
    <cfRule type="cellIs" dxfId="1743" priority="1348" stopIfTrue="1" operator="notBetween">
      <formula>$T$27</formula>
      <formula>$T$28</formula>
    </cfRule>
  </conditionalFormatting>
  <conditionalFormatting sqref="X9:X13 X16:X19">
    <cfRule type="cellIs" dxfId="1742" priority="1350" stopIfTrue="1" operator="notBetween">
      <formula>$X$27</formula>
      <formula>$X$28</formula>
    </cfRule>
  </conditionalFormatting>
  <conditionalFormatting sqref="Y9:Y13 Y16:Y19">
    <cfRule type="cellIs" dxfId="1741" priority="1351" stopIfTrue="1" operator="notBetween">
      <formula>$Y$27</formula>
      <formula>$Y$28</formula>
    </cfRule>
  </conditionalFormatting>
  <conditionalFormatting sqref="AB9:AB13 AB16:AB19">
    <cfRule type="cellIs" dxfId="1740" priority="1352" stopIfTrue="1" operator="notBetween">
      <formula>$AB$27</formula>
      <formula>$AB$28</formula>
    </cfRule>
  </conditionalFormatting>
  <conditionalFormatting sqref="AD9:AD13 AD16:AD19">
    <cfRule type="cellIs" dxfId="1739" priority="1353" stopIfTrue="1" operator="notBetween">
      <formula>$AD$27</formula>
      <formula>$AD$28</formula>
    </cfRule>
  </conditionalFormatting>
  <conditionalFormatting sqref="AH9:AH13 AH16:AH19">
    <cfRule type="cellIs" dxfId="1738" priority="1354" stopIfTrue="1" operator="notBetween">
      <formula>$AH$27</formula>
      <formula>$AH$28</formula>
    </cfRule>
  </conditionalFormatting>
  <conditionalFormatting sqref="AK9:AK13 AK16:AK19">
    <cfRule type="cellIs" dxfId="1737" priority="1355" stopIfTrue="1" operator="notBetween">
      <formula>$AK$27</formula>
      <formula>$AK$28</formula>
    </cfRule>
  </conditionalFormatting>
  <conditionalFormatting sqref="AT9:AT13 AT16:AT19">
    <cfRule type="cellIs" dxfId="1736" priority="1356" stopIfTrue="1" operator="notBetween">
      <formula>$AT$27</formula>
      <formula>$AT$28</formula>
    </cfRule>
  </conditionalFormatting>
  <conditionalFormatting sqref="AU9:AU13 AU16:AU19">
    <cfRule type="cellIs" dxfId="1735" priority="1357" stopIfTrue="1" operator="notBetween">
      <formula>$AU$27</formula>
      <formula>$AU$28</formula>
    </cfRule>
  </conditionalFormatting>
  <conditionalFormatting sqref="Z9:Z13 Z16:Z19">
    <cfRule type="cellIs" dxfId="1734" priority="1358" stopIfTrue="1" operator="notBetween">
      <formula>$Z$27</formula>
      <formula>$Z$28</formula>
    </cfRule>
  </conditionalFormatting>
  <conditionalFormatting sqref="AA9:AA13 AA16:AA19">
    <cfRule type="cellIs" dxfId="1733" priority="1359" stopIfTrue="1" operator="notBetween">
      <formula>$AA$27</formula>
      <formula>$AA$28</formula>
    </cfRule>
  </conditionalFormatting>
  <conditionalFormatting sqref="AC9:AC13 AC16:AC19">
    <cfRule type="cellIs" dxfId="1732" priority="1360" stopIfTrue="1" operator="notBetween">
      <formula>$AC$27</formula>
      <formula>$AC$28</formula>
    </cfRule>
  </conditionalFormatting>
  <conditionalFormatting sqref="AG9:AG13 AG16:AG19">
    <cfRule type="cellIs" dxfId="1731" priority="1719" stopIfTrue="1" operator="notBetween">
      <formula>$AG$27</formula>
      <formula>$AG$28</formula>
    </cfRule>
  </conditionalFormatting>
  <conditionalFormatting sqref="N18">
    <cfRule type="cellIs" dxfId="1730" priority="155" stopIfTrue="1" operator="greaterThan">
      <formula>$BM$18</formula>
    </cfRule>
    <cfRule type="cellIs" dxfId="1729" priority="156" stopIfTrue="1" operator="lessThan">
      <formula>$BL$18</formula>
    </cfRule>
  </conditionalFormatting>
  <conditionalFormatting sqref="N19">
    <cfRule type="cellIs" dxfId="1728" priority="153" stopIfTrue="1" operator="greaterThan">
      <formula>$BM$19</formula>
    </cfRule>
    <cfRule type="cellIs" dxfId="1727" priority="154" stopIfTrue="1" operator="lessThan">
      <formula>$BL$19</formula>
    </cfRule>
  </conditionalFormatting>
  <conditionalFormatting sqref="V16:V19 V9:V13">
    <cfRule type="cellIs" dxfId="1726" priority="143" stopIfTrue="1" operator="notBetween">
      <formula>$V$27</formula>
      <formula>$V$28</formula>
    </cfRule>
  </conditionalFormatting>
  <conditionalFormatting sqref="N10">
    <cfRule type="cellIs" dxfId="1725" priority="137" stopIfTrue="1" operator="greaterThan">
      <formula>#REF!</formula>
    </cfRule>
    <cfRule type="cellIs" dxfId="1724" priority="138" stopIfTrue="1" operator="lessThan">
      <formula>#REF!</formula>
    </cfRule>
  </conditionalFormatting>
  <conditionalFormatting sqref="N13">
    <cfRule type="cellIs" dxfId="1723" priority="135" stopIfTrue="1" operator="greaterThan">
      <formula>#REF!</formula>
    </cfRule>
    <cfRule type="cellIs" dxfId="1722" priority="136" stopIfTrue="1" operator="lessThan">
      <formula>#REF!</formula>
    </cfRule>
  </conditionalFormatting>
  <conditionalFormatting sqref="N18:N19">
    <cfRule type="cellIs" dxfId="1721" priority="127" stopIfTrue="1" operator="greaterThan">
      <formula>$BM$16</formula>
    </cfRule>
    <cfRule type="cellIs" dxfId="1720" priority="128" stopIfTrue="1" operator="lessThan">
      <formula>$BL$16</formula>
    </cfRule>
  </conditionalFormatting>
  <conditionalFormatting sqref="N11:N12">
    <cfRule type="cellIs" dxfId="1719" priority="111" stopIfTrue="1" operator="greaterThan">
      <formula>$BM$9</formula>
    </cfRule>
    <cfRule type="cellIs" dxfId="1718" priority="112" stopIfTrue="1" operator="lessThan">
      <formula>$BL$9</formula>
    </cfRule>
  </conditionalFormatting>
  <conditionalFormatting sqref="P16:P19">
    <cfRule type="cellIs" dxfId="1717" priority="109" stopIfTrue="1" operator="notBetween">
      <formula>$Q$27</formula>
      <formula>$Q$28</formula>
    </cfRule>
  </conditionalFormatting>
  <conditionalFormatting sqref="P17">
    <cfRule type="cellIs" dxfId="1716" priority="108" stopIfTrue="1" operator="notBetween">
      <formula>$Q$27</formula>
      <formula>$Q$28</formula>
    </cfRule>
  </conditionalFormatting>
  <conditionalFormatting sqref="N17">
    <cfRule type="cellIs" dxfId="1715" priority="785" stopIfTrue="1" operator="greaterThan">
      <formula>$BG$17</formula>
    </cfRule>
    <cfRule type="cellIs" dxfId="1714" priority="786" stopIfTrue="1" operator="lessThan">
      <formula>$BF$17</formula>
    </cfRule>
  </conditionalFormatting>
  <conditionalFormatting sqref="O17">
    <cfRule type="cellIs" dxfId="1713" priority="92" stopIfTrue="1" operator="lessThan">
      <formula>$BL$17</formula>
    </cfRule>
    <cfRule type="cellIs" dxfId="1712" priority="93" stopIfTrue="1" operator="greaterThan">
      <formula>$BM$17</formula>
    </cfRule>
  </conditionalFormatting>
  <conditionalFormatting sqref="O12">
    <cfRule type="expression" dxfId="1711" priority="1721" stopIfTrue="1">
      <formula>$O$12&lt;$BL$12</formula>
    </cfRule>
    <cfRule type="expression" dxfId="1710" priority="1722" stopIfTrue="1">
      <formula>$O$12&gt;$BM$12</formula>
    </cfRule>
  </conditionalFormatting>
  <conditionalFormatting sqref="O10">
    <cfRule type="expression" dxfId="1709" priority="82" stopIfTrue="1">
      <formula>$O$12&lt;$BL$12</formula>
    </cfRule>
    <cfRule type="expression" dxfId="1708" priority="83" stopIfTrue="1">
      <formula>$O$12&gt;$BM$12</formula>
    </cfRule>
  </conditionalFormatting>
  <conditionalFormatting sqref="O18">
    <cfRule type="cellIs" dxfId="1707" priority="80" stopIfTrue="1" operator="lessThan">
      <formula>$BL$17</formula>
    </cfRule>
    <cfRule type="cellIs" dxfId="1706" priority="81" stopIfTrue="1" operator="greaterThan">
      <formula>$BM$17</formula>
    </cfRule>
  </conditionalFormatting>
  <conditionalFormatting sqref="H11">
    <cfRule type="cellIs" dxfId="1705" priority="72" stopIfTrue="1" operator="greaterThan">
      <formula>$BG$11</formula>
    </cfRule>
    <cfRule type="cellIs" dxfId="1704" priority="73" stopIfTrue="1" operator="lessThan">
      <formula>$BF$11</formula>
    </cfRule>
  </conditionalFormatting>
  <conditionalFormatting sqref="H12">
    <cfRule type="cellIs" dxfId="1703" priority="70" stopIfTrue="1" operator="greaterThan">
      <formula>$BG$12</formula>
    </cfRule>
    <cfRule type="cellIs" dxfId="1702"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5"/>
  <sheetViews>
    <sheetView topLeftCell="C1" zoomScale="85" zoomScaleNormal="85" workbookViewId="0">
      <selection activeCell="C1" sqref="C1"/>
    </sheetView>
  </sheetViews>
  <sheetFormatPr baseColWidth="10" defaultRowHeight="12.75"/>
  <cols>
    <col min="1" max="1" width="11.42578125" hidden="1" customWidth="1"/>
    <col min="2" max="2" width="9.42578125" style="180"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70"/>
      <c r="D2" s="267" t="str">
        <f>Criterios!A9 &amp;"  "&amp;Criterios!B9</f>
        <v>Tribunales de Justicia  ANDALUCIA</v>
      </c>
      <c r="E2" s="268"/>
    </row>
    <row r="3" spans="2:20" ht="17.25" customHeight="1">
      <c r="C3" s="272"/>
      <c r="D3" s="267" t="str">
        <f>Criterios!A10 &amp;"  "&amp;Criterios!B10</f>
        <v>Provincias  CORDOBA</v>
      </c>
      <c r="E3" s="268"/>
    </row>
    <row r="4" spans="2:20" ht="17.25" customHeight="1" thickBot="1">
      <c r="D4" s="267" t="str">
        <f>Criterios!A11 &amp;"  "&amp;Criterios!B11</f>
        <v>Resumenes por Partidos Judiciales  PUENTE GENIL</v>
      </c>
      <c r="E4" s="268"/>
    </row>
    <row r="5" spans="2:20" ht="12.75" customHeight="1">
      <c r="B5" s="277"/>
      <c r="C5" s="1427" t="str">
        <f>"Año:  " &amp;Criterios!B5 &amp; "          Trimestre   " &amp;Criterios!D5 &amp; " al " &amp;Criterios!D6</f>
        <v>Año:  2023          Trimestre   1 al 1</v>
      </c>
      <c r="D5" s="1447" t="s">
        <v>141</v>
      </c>
      <c r="E5" s="1478" t="s">
        <v>13</v>
      </c>
      <c r="F5" s="1475" t="s">
        <v>9</v>
      </c>
      <c r="G5" s="1472" t="s">
        <v>142</v>
      </c>
      <c r="H5" s="1469" t="s">
        <v>7</v>
      </c>
      <c r="I5" s="1444" t="s">
        <v>133</v>
      </c>
      <c r="J5" s="1421" t="s">
        <v>134</v>
      </c>
      <c r="K5" s="1438" t="s">
        <v>135</v>
      </c>
      <c r="M5" s="167"/>
      <c r="N5" s="175" t="s">
        <v>304</v>
      </c>
      <c r="O5" s="167"/>
      <c r="P5" s="167"/>
      <c r="Q5" s="176" t="s">
        <v>305</v>
      </c>
      <c r="R5" s="176"/>
      <c r="S5" s="174"/>
      <c r="T5" s="174"/>
    </row>
    <row r="6" spans="2:20" ht="12.75" customHeight="1">
      <c r="B6" s="278"/>
      <c r="C6" s="1428"/>
      <c r="D6" s="1448"/>
      <c r="E6" s="1479"/>
      <c r="F6" s="1476"/>
      <c r="G6" s="1473"/>
      <c r="H6" s="1470"/>
      <c r="I6" s="1445"/>
      <c r="J6" s="1422"/>
      <c r="K6" s="1439"/>
      <c r="M6" s="1483" t="s">
        <v>320</v>
      </c>
      <c r="N6" s="1483" t="s">
        <v>301</v>
      </c>
      <c r="O6" s="1483" t="s">
        <v>302</v>
      </c>
      <c r="P6" s="1483" t="s">
        <v>303</v>
      </c>
      <c r="Q6" s="1483" t="s">
        <v>320</v>
      </c>
      <c r="R6" s="1483" t="s">
        <v>301</v>
      </c>
      <c r="S6" s="1483" t="s">
        <v>302</v>
      </c>
      <c r="T6" s="1483" t="s">
        <v>303</v>
      </c>
    </row>
    <row r="7" spans="2:20" ht="23.25" customHeight="1" thickBot="1">
      <c r="B7" s="279"/>
      <c r="C7" s="269" t="str">
        <f>Datos!A7</f>
        <v>COMPETENCIAS</v>
      </c>
      <c r="D7" s="1481"/>
      <c r="E7" s="1480"/>
      <c r="F7" s="1477"/>
      <c r="G7" s="1474"/>
      <c r="H7" s="1471"/>
      <c r="I7" s="1482"/>
      <c r="J7" s="1466"/>
      <c r="K7" s="1467"/>
      <c r="M7" s="1483"/>
      <c r="N7" s="1483"/>
      <c r="O7" s="1483"/>
      <c r="P7" s="1483"/>
      <c r="Q7" s="1483"/>
      <c r="R7" s="1483"/>
      <c r="S7" s="1483"/>
      <c r="T7" s="1483"/>
    </row>
    <row r="8" spans="2:20" ht="14.25">
      <c r="B8" s="181"/>
      <c r="C8" s="166" t="str">
        <f>Datos!A8</f>
        <v>Jurisdicción Civil ( 1 ):</v>
      </c>
      <c r="D8" s="244"/>
      <c r="E8" s="245"/>
      <c r="F8" s="245"/>
      <c r="G8" s="245"/>
      <c r="H8" s="274"/>
      <c r="I8" s="246"/>
      <c r="J8" s="246"/>
      <c r="K8" s="247"/>
      <c r="M8" s="167"/>
      <c r="N8" s="167"/>
      <c r="O8" s="167"/>
      <c r="P8" s="167"/>
      <c r="Q8" s="168"/>
      <c r="R8" s="168"/>
      <c r="S8" s="168"/>
      <c r="T8" s="168"/>
    </row>
    <row r="9" spans="2:20" ht="14.25">
      <c r="B9" s="182" t="s">
        <v>273</v>
      </c>
      <c r="C9" s="165" t="str">
        <f>Datos!A9</f>
        <v xml:space="preserve">Jdos. 1ª Instancia   </v>
      </c>
      <c r="D9" s="358" t="str">
        <f>IF(ISNUMBER((Indicadores!G9-(Datos!S9-M9+Q9))/(Datos!S9-M9+Q9)),(Indicadores!G9-(Datos!S9-M9+Q9))/(Datos!S9-M9+Q9)," - ")</f>
        <v xml:space="preserve"> - </v>
      </c>
      <c r="E9" s="358" t="str">
        <f>IF(ISNUMBER((Indicadores!H9-(Datos!T9-N9+R9))/(Datos!T9-N9+R9)),(Indicadores!H9-(Datos!T9-N9+R9))/(Datos!T9-N9+R9)," - ")</f>
        <v xml:space="preserve"> - </v>
      </c>
      <c r="F9" s="358" t="str">
        <f>IF(ISNUMBER((Indicadores!W9-(Datos!U9-O9+S9))/(Datos!U9-O9+S9)),(Indicadores!W9-(Datos!U9-O9+S9))/(Datos!U9-O9+S9)," - ")</f>
        <v xml:space="preserve"> - </v>
      </c>
      <c r="G9" s="359" t="str">
        <f>IF(ISNUMBER((Indicadores!AA9-(Datos!V9-P9+T9))/(Datos!V9-P9+T9)),(Indicadores!AA9-(Datos!V9-P9+T9))/(Datos!V9-P9+T9)," - ")</f>
        <v xml:space="preserve"> - </v>
      </c>
      <c r="H9" s="235" t="str">
        <f>IF(ISNUMBER((Datos!M9-Datos!W9)/Datos!W9),(Datos!M9-Datos!W9)/Datos!W9," - ")</f>
        <v xml:space="preserve"> - </v>
      </c>
      <c r="I9" s="360" t="str">
        <f>IF(ISNUMBER((Tasas!C9-Datos!BE9)/Datos!BE9),(Tasas!C9-Datos!BE9)/Datos!BE9," - ")</f>
        <v xml:space="preserve"> - </v>
      </c>
      <c r="J9" s="359" t="str">
        <f>IF(ISNUMBER((Tasas!D9-Datos!BF9)/Datos!BF9),(Tasas!D9-Datos!BF9)/Datos!BF9," - ")</f>
        <v xml:space="preserve"> - </v>
      </c>
      <c r="K9" s="36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80" t="s">
        <v>273</v>
      </c>
      <c r="C10" s="7" t="str">
        <f>Datos!A10</f>
        <v>Jdos. Violencia contra la mujer</v>
      </c>
      <c r="D10" s="362">
        <f>IF(ISNUMBER((Datos!I10-Datos!S10)/Datos!S10),(Datos!I10-Datos!S10)/Datos!S10," - ")</f>
        <v>-0.8</v>
      </c>
      <c r="E10" s="358">
        <f>IF(ISNUMBER((Datos!J10-Datos!T10)/Datos!T10),(Datos!J10-Datos!T10)/Datos!T10," - ")</f>
        <v>0</v>
      </c>
      <c r="F10" s="358">
        <f>IF(ISNUMBER((Datos!K10-Datos!U10)/Datos!U10),(Datos!K10-Datos!U10)/Datos!U10," - ")</f>
        <v>-0.66666666666666663</v>
      </c>
      <c r="G10" s="359">
        <f>IF(ISNUMBER((Datos!L10-Datos!V10)/Datos!V10),(Datos!L10-Datos!V10)/Datos!V10," - ")</f>
        <v>-0.5</v>
      </c>
      <c r="H10" s="235">
        <f>IF(ISNUMBER((Datos!M10-Datos!W10)/Datos!W10),(Datos!M10-Datos!W10)/Datos!W10," - ")</f>
        <v>-0.66666666666666663</v>
      </c>
      <c r="I10" s="360">
        <f>IF(ISNUMBER((Tasas!C10-Datos!BE10)/Datos!BE10),(Tasas!C10-Datos!BE10)/Datos!BE10," - ")</f>
        <v>0.50000000000000011</v>
      </c>
      <c r="J10" s="359">
        <f>IF(ISNUMBER((Tasas!D10-Datos!BF10)/Datos!BF10),(Tasas!D10-Datos!BF10)/Datos!BF10," - ")</f>
        <v>0</v>
      </c>
      <c r="K10" s="361">
        <f>IF(ISNUMBER((Tasas!E10-Datos!BG10)/Datos!BG10),(Tasas!E10-Datos!BG10)/Datos!BG10," - ")</f>
        <v>0.28571428571428564</v>
      </c>
    </row>
    <row r="11" spans="2:20" ht="14.25">
      <c r="B11" s="280" t="s">
        <v>273</v>
      </c>
      <c r="C11" s="165" t="str">
        <f>Datos!A11</f>
        <v xml:space="preserve">Jdos. Familia                                   </v>
      </c>
      <c r="D11" s="358" t="str">
        <f>IF(ISNUMBER((Indicadores!G11-(Datos!S11-M11+Q11))/(Datos!S11-M11+Q11)),(Indicadores!G11-(Datos!S11-M11+Q11))/(Datos!S11-M11+Q11)," - ")</f>
        <v xml:space="preserve"> - </v>
      </c>
      <c r="E11" s="358" t="str">
        <f>IF(ISNUMBER((Indicadores!H11-(Datos!T11-N11+R11))/(Datos!T11-N11+R11)),(Indicadores!H11-(Datos!T11-N11+R11))/(Datos!T11-N11+R11)," - ")</f>
        <v xml:space="preserve"> - </v>
      </c>
      <c r="F11" s="358" t="str">
        <f>IF(ISNUMBER((Indicadores!W11-(Datos!U11-O11+S11))/(Datos!U11-O11+S11)),(Indicadores!W11-(Datos!U11-O11+S11))/(Datos!U11-O11+S11)," - ")</f>
        <v xml:space="preserve"> - </v>
      </c>
      <c r="G11" s="359" t="str">
        <f>IF(ISNUMBER((Indicadores!AA11-(Datos!V11-P11+T11))/(Datos!V11-P11+T11)),(Indicadores!AA11-(Datos!V11-P11+T11))/(Datos!V11-P11+T11)," - ")</f>
        <v xml:space="preserve"> - </v>
      </c>
      <c r="H11" s="235" t="str">
        <f>IF(ISNUMBER((Datos!M11-Datos!W11)/Datos!W11),(Datos!M11-Datos!W11)/Datos!W11," - ")</f>
        <v xml:space="preserve"> - </v>
      </c>
      <c r="I11" s="360" t="str">
        <f>IF(ISNUMBER((Tasas!C11-Datos!BE11)/Datos!BE11),(Tasas!C11-Datos!BE11)/Datos!BE11," - ")</f>
        <v xml:space="preserve"> - </v>
      </c>
      <c r="J11" s="359" t="str">
        <f>IF(ISNUMBER((Tasas!D11-Datos!BF11)/Datos!BF11),(Tasas!D11-Datos!BF11)/Datos!BF11," - ")</f>
        <v xml:space="preserve"> - </v>
      </c>
      <c r="K11" s="36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280" t="s">
        <v>273</v>
      </c>
      <c r="C12" s="165" t="str">
        <f>Datos!A12</f>
        <v xml:space="preserve">Jdos. 1ª Instª. e Instr.                        </v>
      </c>
      <c r="D12" s="358" t="str">
        <f>IF(ISNUMBER((Indicadores!G12-(Datos!S12+M12+Q12))/(Datos!S12+M12+Q12)),(Indicadores!G12-(Datos!S12+M12+Q12))/(Datos!S12+M12+Q12)," - ")</f>
        <v xml:space="preserve"> - </v>
      </c>
      <c r="E12" s="358" t="str">
        <f>IF(ISNUMBER((Indicadores!H12-(Datos!T12+N12+R12))/(Datos!T12+N12+R12)),(Indicadores!H12-(Datos!T12+N12+R12))/(Datos!T12+N12+R12)," - ")</f>
        <v xml:space="preserve"> - </v>
      </c>
      <c r="F12" s="358" t="str">
        <f>IF(ISNUMBER((Indicadores!W12-(Datos!U12+O12+S12))/(Datos!U12+O12+S12)),(Indicadores!W12-(Datos!U12+O12+S12))/(Datos!U12+O12+S12)," - ")</f>
        <v xml:space="preserve"> - </v>
      </c>
      <c r="G12" s="359" t="str">
        <f>IF(ISNUMBER((Indicadores!AA12-(Datos!V12-P12+T12))/(Datos!V12-P12+T12)),(Indicadores!AA12-(Datos!V12-P12+T12))/(Datos!V12-P12+T12)," - ")</f>
        <v xml:space="preserve"> - </v>
      </c>
      <c r="H12" s="235">
        <f>IF(ISNUMBER((Datos!M12-Datos!W12)/Datos!W12),(Datos!M12-Datos!W12)/Datos!W12," - ")</f>
        <v>-4.5977011494252873E-2</v>
      </c>
      <c r="I12" s="360">
        <f>IF(ISNUMBER((Tasas!C12-Datos!BE12)/Datos!BE12),(Tasas!C12-Datos!BE12)/Datos!BE12," - ")</f>
        <v>0.17538011742877568</v>
      </c>
      <c r="J12" s="359">
        <f>IF(ISNUMBER((Tasas!D12-Datos!BF12)/Datos!BF12),(Tasas!D12-Datos!BF12)/Datos!BF12," - ")</f>
        <v>8.9364987454159425E-2</v>
      </c>
      <c r="K12" s="361">
        <f>IF(ISNUMBER((Tasas!E12-Datos!BG12)/Datos!BG12),(Tasas!E12-Datos!BG12)/Datos!BG12," - ")</f>
        <v>0.13058820011363287</v>
      </c>
      <c r="M12" t="e">
        <f>IF(Monitorios="SI",Datos!CE12,0)</f>
        <v>#REF!</v>
      </c>
      <c r="N12" t="e">
        <f>IF(Monitorios="SI",Datos!CF12,0)</f>
        <v>#REF!</v>
      </c>
      <c r="O12" t="e">
        <f>IF(Monitorios="SI",Datos!CG12,0)</f>
        <v>#REF!</v>
      </c>
      <c r="P12" t="e">
        <f>IF(Monitorios="SI",Datos!CH12,0)</f>
        <v>#REF!</v>
      </c>
      <c r="Q12">
        <f>IF(J_V="SI",0,Datos!AG12)</f>
        <v>28</v>
      </c>
      <c r="R12">
        <f>IF(J_V="SI",0,Datos!AH12)</f>
        <v>28</v>
      </c>
      <c r="S12">
        <f>IF(J_V="SI",0,Datos!AI12)</f>
        <v>25</v>
      </c>
      <c r="T12">
        <f>IF(J_V="SI",0,Datos!AJ12)</f>
        <v>31</v>
      </c>
    </row>
    <row r="13" spans="2:20" ht="15" thickBot="1">
      <c r="B13" s="280" t="s">
        <v>273</v>
      </c>
      <c r="C13" s="7" t="str">
        <f>Datos!A13</f>
        <v xml:space="preserve">Jdos. de Menores    </v>
      </c>
      <c r="D13" s="362" t="str">
        <f>IF(ISNUMBER((Datos!I13-Datos!S13)/Datos!S13),(Datos!I13-Datos!S13)/Datos!S13," - ")</f>
        <v xml:space="preserve"> - </v>
      </c>
      <c r="E13" s="358" t="str">
        <f>IF(ISNUMBER((Datos!J13-Datos!T13)/Datos!T13),(Datos!J13-Datos!T13)/Datos!T13," - ")</f>
        <v xml:space="preserve"> - </v>
      </c>
      <c r="F13" s="358" t="str">
        <f>IF(ISNUMBER((Datos!K13-Datos!U13)/Datos!U13),(Datos!K13-Datos!U13)/Datos!U13," - ")</f>
        <v xml:space="preserve"> - </v>
      </c>
      <c r="G13" s="359" t="str">
        <f>IF(ISNUMBER((Datos!L13-Datos!V13)/Datos!V13),(Datos!L13-Datos!V13)/Datos!V13," - ")</f>
        <v xml:space="preserve"> - </v>
      </c>
      <c r="H13" s="235" t="str">
        <f>IF(ISNUMBER((Datos!M13-Datos!W13)/Datos!W13),(Datos!M13-Datos!W13)/Datos!W13," - ")</f>
        <v xml:space="preserve"> - </v>
      </c>
      <c r="I13" s="360" t="str">
        <f>IF(ISNUMBER((Tasas!C13-Datos!BE13)/Datos!BE13),(Tasas!C13-Datos!BE13)/Datos!BE13," - ")</f>
        <v xml:space="preserve"> - </v>
      </c>
      <c r="J13" s="359" t="str">
        <f>IF(ISNUMBER((Tasas!D13-Datos!BF13)/Datos!BF13),(Tasas!D13-Datos!BF13)/Datos!BF13," - ")</f>
        <v xml:space="preserve"> - </v>
      </c>
      <c r="K13" s="361" t="str">
        <f>IF(ISNUMBER((Tasas!E13-Datos!BG13)/Datos!BG13),(Tasas!E13-Datos!BG13)/Datos!BG13," - ")</f>
        <v xml:space="preserve"> - </v>
      </c>
    </row>
    <row r="14" spans="2:20" ht="16.5" hidden="1" thickTop="1" thickBot="1">
      <c r="B14" s="183"/>
      <c r="C14" s="74" t="str">
        <f>Datos!A14</f>
        <v>TOTAL</v>
      </c>
      <c r="D14" s="363" t="str">
        <f>IF(ISNUMBER((Indicadores!G14-(Datos!S14-M14+Q14))/(Datos!S14-M14+Q14)),(Indicadores!G14-(Datos!S14-M14+Q14))/(Datos!S14-M14+Q14)," - ")</f>
        <v xml:space="preserve"> - </v>
      </c>
      <c r="E14" s="364" t="str">
        <f>IF(ISNUMBER((Indicadores!H14-(Datos!T14-N14+R14))/(Datos!T14-N14+R14)),(Indicadores!H14-(Datos!T14-N14+R14))/(Datos!T14-N14+R14)," - ")</f>
        <v xml:space="preserve"> - </v>
      </c>
      <c r="F14" s="364" t="str">
        <f>IF(ISNUMBER((Indicadores!W14-(Datos!U14-O14+S14))/(Datos!U14-O14+S14)),(Indicadores!W14-(Datos!U14-O14+S14))/(Datos!U14-O14+S14)," - ")</f>
        <v xml:space="preserve"> - </v>
      </c>
      <c r="G14" s="365" t="str">
        <f>IF(ISNUMBER((Indicadores!F14-(Datos!V14-P14+T14))/(Datos!V14-P14+T14)),(Indicadores!F14-(Datos!V14-P14+T14))/(Datos!V14-P14+T14)," - ")</f>
        <v xml:space="preserve"> - </v>
      </c>
      <c r="H14" s="366">
        <f>IF(ISNUMBER((Datos!M14-Datos!W14)/Datos!W14),(Datos!M14-Datos!W14)/Datos!W14," - ")</f>
        <v>-6.6666666666666666E-2</v>
      </c>
      <c r="I14" s="367">
        <f>IF(ISNUMBER((Tasas!C14-Datos!BE14)/Datos!BE14),(Tasas!C14-Datos!BE14)/Datos!BE14," - ")</f>
        <v>0.18081695246061621</v>
      </c>
      <c r="J14" s="365">
        <f>IF(ISNUMBER((Tasas!D14-Datos!BF14)/Datos!BF14),(Tasas!D14-Datos!BF14)/Datos!BF14," - ")</f>
        <v>6.2801932367149718E-2</v>
      </c>
      <c r="K14" s="368">
        <f>IF(ISNUMBER((Tasas!E14-Datos!BG14)/Datos!BG14),(Tasas!E14-Datos!BG14)/Datos!BG14," - ")</f>
        <v>0.1344320066334993</v>
      </c>
      <c r="M14" t="e">
        <f>IF(Monitorios="SI",Datos!CE14,0)</f>
        <v>#REF!</v>
      </c>
      <c r="N14" t="e">
        <f>IF(Monitorios="SI",Datos!CF14,0)</f>
        <v>#REF!</v>
      </c>
      <c r="O14" t="e">
        <f>IF(Monitorios="SI",Datos!CG14,0)</f>
        <v>#REF!</v>
      </c>
      <c r="P14" t="e">
        <f>IF(Monitorios="SI",Datos!CH14,0)</f>
        <v>#REF!</v>
      </c>
      <c r="Q14">
        <f>IF(J_V="SI",0,Datos!AG14)</f>
        <v>28</v>
      </c>
      <c r="R14">
        <f>IF(J_V="SI",0,Datos!AH14)</f>
        <v>28</v>
      </c>
      <c r="S14">
        <f>IF(J_V="SI",0,Datos!AI14)</f>
        <v>25</v>
      </c>
      <c r="T14">
        <f>IF(J_V="SI",0,Datos!AJ14)</f>
        <v>31</v>
      </c>
    </row>
    <row r="15" spans="2:20" ht="15" thickTop="1">
      <c r="B15" s="184"/>
      <c r="C15" s="72" t="str">
        <f>Datos!A15</f>
        <v xml:space="preserve">Jurisdicción Penal ( 2 ):                      </v>
      </c>
      <c r="D15" s="251"/>
      <c r="E15" s="252"/>
      <c r="F15" s="252"/>
      <c r="G15" s="252"/>
      <c r="H15" s="275"/>
      <c r="I15" s="252"/>
      <c r="J15" s="252"/>
      <c r="K15" s="293"/>
    </row>
    <row r="16" spans="2:20" ht="14.25">
      <c r="B16" s="280" t="s">
        <v>437</v>
      </c>
      <c r="C16" s="7" t="str">
        <f>Datos!A16</f>
        <v xml:space="preserve">Jdos. Instrucción                               </v>
      </c>
      <c r="D16" s="362" t="str">
        <f>IF(ISNUMBER(
   IF(D_I="SI",(Datos!I16-Datos!S16)/Datos!S16,(Datos!I16+Datos!AC16-(Datos!S16+Datos!AK16))/(Datos!S16+Datos!AK16))
     ),IF(D_I="SI",(Datos!I16-Datos!S16)/Datos!S16,(Datos!I16+Datos!AC16-(Datos!S16+Datos!AK16))/(Datos!S16+Datos!AK16))," - ")</f>
        <v xml:space="preserve"> - </v>
      </c>
      <c r="E16" s="358" t="str">
        <f>IF(ISNUMBER(
   IF(D_I="SI",(Datos!J16-Datos!T16)/Datos!T16,(Datos!J16+Datos!AD16-(Datos!T16+Datos!AL16))/(Datos!T16+Datos!AL16))
     ),IF(D_I="SI",(Datos!J16-Datos!T16)/Datos!T16,(Datos!J16+Datos!AD16-(Datos!T16+Datos!AL16))/(Datos!T16+Datos!AL16))," - ")</f>
        <v xml:space="preserve"> - </v>
      </c>
      <c r="F16" s="358" t="str">
        <f>IF(ISNUMBER(
   IF(D_I="SI",(Datos!K16-Datos!U16)/Datos!U16,(Datos!K16+Datos!AE16-(Datos!U16+Datos!AM16))/(Datos!U16+Datos!AM16))
     ),IF(D_I="SI",(Datos!K16-Datos!U16)/Datos!U16,(Datos!K16+Datos!AE16-(Datos!U16+Datos!AM16))/(Datos!U16+Datos!AM16))," - ")</f>
        <v xml:space="preserve"> - </v>
      </c>
      <c r="G16" s="359" t="str">
        <f>IF(ISNUMBER(
   IF(D_I="SI",(Datos!L16-Datos!V16)/Datos!V16,(Datos!L16+Datos!AF16-(Datos!V16+Datos!AN16))/(Datos!V16+Datos!AN16))
     ),IF(D_I="SI",(Datos!L16-Datos!V16)/Datos!V16,(Datos!L16+Datos!AF16-(Datos!V16+Datos!AN16))/(Datos!V16+Datos!AN16))," - ")</f>
        <v xml:space="preserve"> - </v>
      </c>
      <c r="H16" s="235" t="str">
        <f>IF(ISNUMBER((Datos!M16-Datos!W16)/Datos!W16),(Datos!M16-Datos!W16)/Datos!W16," - ")</f>
        <v xml:space="preserve"> - </v>
      </c>
      <c r="I16" s="360" t="str">
        <f>IF(ISNUMBER((Tasas!C16-Datos!BE16)/Datos!BE16),(Tasas!C16-Datos!BE16)/Datos!BE16," - ")</f>
        <v xml:space="preserve"> - </v>
      </c>
      <c r="J16" s="359" t="str">
        <f>IF(ISNUMBER((Tasas!D16-Datos!BF16)/Datos!BF16),(Tasas!D16-Datos!BF16)/Datos!BF16," - ")</f>
        <v xml:space="preserve"> - </v>
      </c>
      <c r="K16" s="361" t="str">
        <f>IF(ISNUMBER((Tasas!E16-Datos!BG16)/Datos!BG16),(Tasas!E16-Datos!BG16)/Datos!BG16," - ")</f>
        <v xml:space="preserve"> - </v>
      </c>
    </row>
    <row r="17" spans="2:20" ht="14.25">
      <c r="B17" s="280" t="s">
        <v>437</v>
      </c>
      <c r="C17" s="7" t="str">
        <f>Datos!A17</f>
        <v xml:space="preserve">Jdos. 1ª Instª. e Instr.                        </v>
      </c>
      <c r="D17" s="362">
        <f>IF(ISNUMBER(
   IF(D_I="SI",(Datos!I17-Datos!S17)/Datos!S17,(Datos!I17+Datos!AC17-(Datos!S17+Datos!AK17))/(Datos!S17+Datos!AK17))
     ),IF(D_I="SI",(Datos!I17-Datos!S17)/Datos!S17,(Datos!I17+Datos!AC17-(Datos!S17+Datos!AK17))/(Datos!S17+Datos!AK17))," - ")</f>
        <v>3.7037037037037035E-2</v>
      </c>
      <c r="E17" s="358">
        <f>IF(ISNUMBER(
   IF(D_I="SI",(Datos!J17-Datos!T17)/Datos!T17,(Datos!J17+Datos!AD17-(Datos!T17+Datos!AL17))/(Datos!T17+Datos!AL17))
     ),IF(D_I="SI",(Datos!J17-Datos!T17)/Datos!T17,(Datos!J17+Datos!AD17-(Datos!T17+Datos!AL17))/(Datos!T17+Datos!AL17))," - ")</f>
        <v>0.13090909090909092</v>
      </c>
      <c r="F17" s="358">
        <f>IF(ISNUMBER(
   IF(D_I="SI",(Datos!K17-Datos!U17)/Datos!U17,(Datos!K17+Datos!AE17-(Datos!U17+Datos!AM17))/(Datos!U17+Datos!AM17))
     ),IF(D_I="SI",(Datos!K17-Datos!U17)/Datos!U17,(Datos!K17+Datos!AE17-(Datos!U17+Datos!AM17))/(Datos!U17+Datos!AM17))," - ")</f>
        <v>7.6376554174067496E-2</v>
      </c>
      <c r="G17" s="359">
        <f>IF(ISNUMBER(
   IF(D_I="SI",(Datos!L17-Datos!V17)/Datos!V17,(Datos!L17+Datos!AF17-(Datos!V17+Datos!AN17))/(Datos!V17+Datos!AN17))
     ),IF(D_I="SI",(Datos!L17-Datos!V17)/Datos!V17,(Datos!L17+Datos!AF17-(Datos!V17+Datos!AN17))/(Datos!V17+Datos!AN17))," - ")</f>
        <v>0.23152709359605911</v>
      </c>
      <c r="H17" s="235">
        <f>IF(ISNUMBER((Datos!M17-Datos!W17)/Datos!W17),(Datos!M17-Datos!W17)/Datos!W17," - ")</f>
        <v>0.19444444444444445</v>
      </c>
      <c r="I17" s="360">
        <f>IF(ISNUMBER((Tasas!C17-Datos!BE17)/Datos!BE17),(Tasas!C17-Datos!BE17)/Datos!BE17," - ")</f>
        <v>0.14414150774683376</v>
      </c>
      <c r="J17" s="359">
        <f>IF(ISNUMBER((Tasas!D17-Datos!BF17)/Datos!BF17),(Tasas!D17-Datos!BF17)/Datos!BF17," - ")</f>
        <v>0.10969013568023468</v>
      </c>
      <c r="K17" s="361">
        <f>IF(ISNUMBER((Tasas!E17-Datos!BG17)/Datos!BG17),(Tasas!E17-Datos!BG17)/Datos!BG17," - ")</f>
        <v>2.6070883850787176E-2</v>
      </c>
    </row>
    <row r="18" spans="2:20" ht="14.25">
      <c r="B18" s="280" t="s">
        <v>437</v>
      </c>
      <c r="C18" s="7" t="str">
        <f>Datos!A18</f>
        <v>Jdos. Violencia contra la mujer</v>
      </c>
      <c r="D18" s="362">
        <f>IF(ISNUMBER(
   IF(D_I="SI",(Datos!I18-Datos!S18)/Datos!S18,(Datos!I18+Datos!AC18-(Datos!S18+Datos!AK18))/(Datos!S18+Datos!AK18))
     ),IF(D_I="SI",(Datos!I18-Datos!S18)/Datos!S18,(Datos!I18+Datos!AC18-(Datos!S18+Datos!AK18))/(Datos!S18+Datos!AK18))," - ")</f>
        <v>-6.6666666666666666E-2</v>
      </c>
      <c r="E18" s="358">
        <f>IF(ISNUMBER(
   IF(D_I="SI",(Datos!J18-Datos!T18)/Datos!T18,(Datos!J18+Datos!AD18-(Datos!T18+Datos!AL18))/(Datos!T18+Datos!AL18))
     ),IF(D_I="SI",(Datos!J18-Datos!T18)/Datos!T18,(Datos!J18+Datos!AD18-(Datos!T18+Datos!AL18))/(Datos!T18+Datos!AL18))," - ")</f>
        <v>0.5</v>
      </c>
      <c r="F18" s="358">
        <f>IF(ISNUMBER(
   IF(D_I="SI",(Datos!K18-Datos!U18)/Datos!U18,(Datos!K18+Datos!AE18-(Datos!U18+Datos!AM18))/(Datos!U18+Datos!AM18))
     ),IF(D_I="SI",(Datos!K18-Datos!U18)/Datos!U18,(Datos!K18+Datos!AE18-(Datos!U18+Datos!AM18))/(Datos!U18+Datos!AM18))," - ")</f>
        <v>-0.13636363636363635</v>
      </c>
      <c r="G18" s="359">
        <f>IF(ISNUMBER(
   IF(D_I="SI",(Datos!L18-Datos!V18)/Datos!V18,(Datos!L18+Datos!AF18-(Datos!V18+Datos!AN18))/(Datos!V18+Datos!AN18))
     ),IF(D_I="SI",(Datos!L18-Datos!V18)/Datos!V18,(Datos!L18+Datos!AF18-(Datos!V18+Datos!AN18))/(Datos!V18+Datos!AN18))," - ")</f>
        <v>1.1111111111111112</v>
      </c>
      <c r="H18" s="235">
        <f>IF(ISNUMBER((Datos!M18-Datos!W18)/Datos!W18),(Datos!M18-Datos!W18)/Datos!W18," - ")</f>
        <v>0.66666666666666663</v>
      </c>
      <c r="I18" s="360">
        <f>IF(ISNUMBER((Tasas!C18-Datos!BE18)/Datos!BE18),(Tasas!C18-Datos!BE18)/Datos!BE18," - ")</f>
        <v>1.4444444444444442</v>
      </c>
      <c r="J18" s="359">
        <f>IF(ISNUMBER((Tasas!D18-Datos!BF18)/Datos!BF18),(Tasas!D18-Datos!BF18)/Datos!BF18," - ")</f>
        <v>0.92982456140350878</v>
      </c>
      <c r="K18" s="361">
        <f>IF(ISNUMBER((Tasas!E18-Datos!BG18)/Datos!BG18),(Tasas!E18-Datos!BG18)/Datos!BG18," - ")</f>
        <v>0.41935483870967732</v>
      </c>
    </row>
    <row r="19" spans="2:20" ht="15" thickBot="1">
      <c r="B19" s="280" t="s">
        <v>437</v>
      </c>
      <c r="C19" s="7" t="str">
        <f>Datos!A19</f>
        <v xml:space="preserve">Jdos. de Menores                                </v>
      </c>
      <c r="D19" s="362" t="str">
        <f>IF(ISNUMBER((Datos!I19-Datos!S19)/Datos!S19),(Datos!I19-Datos!S19)/Datos!S19," - ")</f>
        <v xml:space="preserve"> - </v>
      </c>
      <c r="E19" s="358" t="str">
        <f>IF(ISNUMBER((Datos!J19-Datos!T19)/Datos!T19),(Datos!J19-Datos!T19)/Datos!T19," - ")</f>
        <v xml:space="preserve"> - </v>
      </c>
      <c r="F19" s="358" t="str">
        <f>IF(ISNUMBER((Datos!K19-Datos!U19)/Datos!U19),(Datos!K19-Datos!U19)/Datos!U19," - ")</f>
        <v xml:space="preserve"> - </v>
      </c>
      <c r="G19" s="359" t="str">
        <f>IF(ISNUMBER((Datos!L19-Datos!V19)/Datos!V19),(Datos!L19-Datos!V19)/Datos!V19," - ")</f>
        <v xml:space="preserve"> - </v>
      </c>
      <c r="H19" s="235" t="str">
        <f>IF(ISNUMBER((Datos!M19-Datos!W19)/Datos!W19),(Datos!M19-Datos!W19)/Datos!W19," - ")</f>
        <v xml:space="preserve"> - </v>
      </c>
      <c r="I19" s="360" t="str">
        <f>IF(ISNUMBER((Tasas!C19-Datos!BE19)/Datos!BE19),(Tasas!C19-Datos!BE19)/Datos!BE19," - ")</f>
        <v xml:space="preserve"> - </v>
      </c>
      <c r="J19" s="359" t="str">
        <f>IF(ISNUMBER((Tasas!D19-Datos!BF19)/Datos!BF19),(Tasas!D19-Datos!BF19)/Datos!BF19," - ")</f>
        <v xml:space="preserve"> - </v>
      </c>
      <c r="K19" s="361" t="str">
        <f>IF(ISNUMBER((Tasas!E19-Datos!BG19)/Datos!BG19),(Tasas!E19-Datos!BG19)/Datos!BG19," - ")</f>
        <v xml:space="preserve"> - </v>
      </c>
    </row>
    <row r="20" spans="2:20" ht="16.5" hidden="1" thickTop="1" thickBot="1">
      <c r="B20" s="183"/>
      <c r="C20" s="74" t="str">
        <f>Datos!A20</f>
        <v>TOTAL</v>
      </c>
      <c r="D20" s="363">
        <f>IF(ISNUMBER(
   IF(D_I="SI",(Datos!I20-Datos!S20)/Datos!S20,(Datos!I20+Datos!AC20-(Datos!S20+Datos!AK20))/(Datos!S20+Datos!AK20))
     ),IF(D_I="SI",(Datos!I20-Datos!S20)/Datos!S20,(Datos!I20+Datos!AC20-(Datos!S20+Datos!AK20))/(Datos!S20+Datos!AK20))," - ")</f>
        <v>3.0303030303030304E-2</v>
      </c>
      <c r="E20" s="364">
        <f>IF(ISNUMBER(
   IF(D_I="SI",(Datos!J20-Datos!T20)/Datos!T20,(Datos!J20+Datos!AD20-(Datos!T20+Datos!AL20))/(Datos!T20+Datos!AL20))
     ),IF(D_I="SI",(Datos!J20-Datos!T20)/Datos!T20,(Datos!J20+Datos!AD20-(Datos!T20+Datos!AL20))/(Datos!T20+Datos!AL20))," - ")</f>
        <v>0.14134275618374559</v>
      </c>
      <c r="F20" s="364">
        <f>IF(ISNUMBER(
   IF(D_I="SI",(Datos!K20-Datos!U20)/Datos!U20,(Datos!K20+Datos!AE20-(Datos!U20+Datos!AM20))/(Datos!U20+Datos!AM20))
     ),IF(D_I="SI",(Datos!K20-Datos!U20)/Datos!U20,(Datos!K20+Datos!AE20-(Datos!U20+Datos!AM20))/(Datos!U20+Datos!AM20))," - ")</f>
        <v>6.8376068376068383E-2</v>
      </c>
      <c r="G20" s="365">
        <f>IF(ISNUMBER(
   IF(D_I="SI",(Datos!L20-Datos!V20)/Datos!V20,(Datos!L20+Datos!AF20-(Datos!V20+Datos!AN20))/(Datos!V20+Datos!AN20))
     ),IF(D_I="SI",(Datos!L20-Datos!V20)/Datos!V20,(Datos!L20+Datos!AF20-(Datos!V20+Datos!AN20))/(Datos!V20+Datos!AN20))," - ")</f>
        <v>0.26886792452830188</v>
      </c>
      <c r="H20" s="366">
        <f>IF(ISNUMBER((Datos!M20-Datos!W20)/Datos!W20),(Datos!M20-Datos!W20)/Datos!W20," - ")</f>
        <v>0.21333333333333335</v>
      </c>
      <c r="I20" s="367">
        <f>IF(ISNUMBER((Tasas!C20-Datos!BE20)/Datos!BE20),(Tasas!C20-Datos!BE20)/Datos!BE20," - ")</f>
        <v>0.18766037735849062</v>
      </c>
      <c r="J20" s="365">
        <f>IF(ISNUMBER((Tasas!D20-Datos!BF20)/Datos!BF20),(Tasas!D20-Datos!BF20)/Datos!BF20," - ")</f>
        <v>0.13568000000000016</v>
      </c>
      <c r="K20" s="368">
        <f>IF(ISNUMBER((Tasas!E20-Datos!BG20)/Datos!BG20),(Tasas!E20-Datos!BG20)/Datos!BG20," - ")</f>
        <v>3.817314930991221E-2</v>
      </c>
      <c r="M20" t="e">
        <f>IF(Monitorios="SI",Datos!CE20,0)</f>
        <v>#REF!</v>
      </c>
      <c r="N20" t="e">
        <f>IF(Monitorios="SI",Datos!CF20,0)</f>
        <v>#REF!</v>
      </c>
      <c r="O20" t="e">
        <f>IF(Monitorios="SI",Datos!CG20,0)</f>
        <v>#REF!</v>
      </c>
      <c r="P20" t="e">
        <f>IF(Monitorios="SI",Datos!CH20,0)</f>
        <v>#REF!</v>
      </c>
      <c r="Q20">
        <f>IF(J_V="SI",0,Datos!AG20)</f>
        <v>0</v>
      </c>
      <c r="R20">
        <f>IF(J_V="SI",0,Datos!AH20)</f>
        <v>0</v>
      </c>
      <c r="S20">
        <f>IF(J_V="SI",0,Datos!AI20)</f>
        <v>0</v>
      </c>
      <c r="T20">
        <f>IF(J_V="SI",0,Datos!AJ20)</f>
        <v>0</v>
      </c>
    </row>
    <row r="21" spans="2:20" ht="15.75" hidden="1" customHeight="1" thickBot="1">
      <c r="B21" s="177"/>
      <c r="C21" s="177" t="str">
        <f>Datos!A21</f>
        <v>TOTAL JURISDICCIONES</v>
      </c>
      <c r="D21" s="372">
        <f>IF(ISNUMBER(
   IF(J_V="SI",(Datos!I21-Datos!S21)/Datos!S21,(Datos!I21+Datos!Y21-(Datos!S21+Datos!AG21))/(Datos!S21+Datos!AG21))
     ),IF(J_V="SI",(Datos!I21-Datos!S21)/Datos!S21,(Datos!I21+Datos!Y21-(Datos!S21+Datos!AG21))/(Datos!S21+Datos!AG21))," - ")</f>
        <v>0.25517241379310346</v>
      </c>
      <c r="E21" s="373">
        <f>IF(ISNUMBER(
   IF(J_V="SI",(Datos!J21-Datos!T21)/Datos!T21,(Datos!J21+Datos!Z21-(Datos!T21+Datos!AH21))/(Datos!T21+Datos!AH21))
     ),IF(J_V="SI",(Datos!J21-Datos!T21)/Datos!T21,(Datos!J21+Datos!Z21-(Datos!T21+Datos!AH21))/(Datos!T21+Datos!AH21))," - ")</f>
        <v>0.17447306791569087</v>
      </c>
      <c r="F21" s="373">
        <f>IF(ISNUMBER(
   IF(J_V="SI",(Datos!K21-Datos!U21)/Datos!U21,(Datos!K21+Datos!AA21-(Datos!U21+Datos!AI21))/(Datos!U21+Datos!AI21))
     ),IF(J_V="SI",(Datos!K21-Datos!U21)/Datos!U21,(Datos!K21+Datos!AA21-(Datos!U21+Datos!AI21))/(Datos!U21+Datos!AI21))," - ")</f>
        <v>9.3023255813953487E-2</v>
      </c>
      <c r="G21" s="374">
        <f>IF(ISNUMBER(
   IF(J_V="SI",(Datos!L21-Datos!V21)/Datos!V21,(Datos!L21+Datos!AB21-(Datos!V21+Datos!AJ21))/(Datos!V21+Datos!AJ21))
     ),IF(J_V="SI",(Datos!L21-Datos!V21)/Datos!V21,(Datos!L21+Datos!AB21-(Datos!V21+Datos!AJ21))/(Datos!V21+Datos!AJ21))," - ")</f>
        <v>0.33498513379583744</v>
      </c>
      <c r="H21" s="375">
        <f>IF(ISNUMBER((Datos!M21-Datos!W21)/Datos!W21),(Datos!M21-Datos!W21)/Datos!W21," - ")</f>
        <v>6.0606060606060608E-2</v>
      </c>
      <c r="I21" s="372">
        <f>IF(ISNUMBER((Tasas!C21-Datos!BE21)/Datos!BE21),(Tasas!C21-Datos!BE21)/Datos!BE21," - ")</f>
        <v>0.22136937772810661</v>
      </c>
      <c r="J21" s="373">
        <f>IF(ISNUMBER((Tasas!D21-Datos!BF21)/Datos!BF21),(Tasas!D21-Datos!BF21)/Datos!BF21," - ")</f>
        <v>0.11184988179669027</v>
      </c>
      <c r="K21" s="374">
        <f>IF(ISNUMBER((Tasas!E21-Datos!BG21)/Datos!BG21),(Tasas!E21-Datos!BG21)/Datos!BG21," - ")</f>
        <v>0.11461357194084898</v>
      </c>
    </row>
    <row r="22" spans="2:20" ht="15.75" customHeight="1" thickTop="1" thickBot="1">
      <c r="B22" s="172"/>
      <c r="C22" s="959" t="s">
        <v>291</v>
      </c>
      <c r="D22" s="960">
        <f t="shared" ref="D22:K22" ca="1" si="0">IF(ISNUMBER(SUMIF($B8:$B20,$B22,D8:D20)/INDIRECT("Datos!AP"&amp;ROW()-1)),SUMIF($B8:$B20,$B22,D8:D20)/INDIRECT("Datos!AP"&amp;ROW()-1),"-")</f>
        <v>0</v>
      </c>
      <c r="E22" s="961">
        <f t="shared" ca="1" si="0"/>
        <v>0</v>
      </c>
      <c r="F22" s="961">
        <f t="shared" ca="1" si="0"/>
        <v>0</v>
      </c>
      <c r="G22" s="962">
        <f t="shared" ca="1" si="0"/>
        <v>0</v>
      </c>
      <c r="H22" s="963">
        <f t="shared" ca="1" si="0"/>
        <v>0</v>
      </c>
      <c r="I22" s="960">
        <f t="shared" ca="1" si="0"/>
        <v>0</v>
      </c>
      <c r="J22" s="961">
        <f t="shared" ca="1" si="0"/>
        <v>0</v>
      </c>
      <c r="K22" s="962">
        <f t="shared" ca="1" si="0"/>
        <v>0</v>
      </c>
    </row>
    <row r="23" spans="2:20" ht="15.75" hidden="1" customHeight="1" thickTop="1" thickBot="1">
      <c r="B23" s="173"/>
      <c r="C23" s="173" t="s">
        <v>292</v>
      </c>
      <c r="D23" s="282">
        <f t="shared" ref="D23:K23" si="1">IF(ISNUMBER( STDEV(D8:D20)),STDEV(D8:D20)," - ")</f>
        <v>0.40290764330663392</v>
      </c>
      <c r="E23" s="283">
        <f t="shared" si="1"/>
        <v>0.2144929959802013</v>
      </c>
      <c r="F23" s="283">
        <f t="shared" si="1"/>
        <v>0.34891057802166842</v>
      </c>
      <c r="G23" s="284">
        <f t="shared" si="1"/>
        <v>0.65868586046049737</v>
      </c>
      <c r="H23" s="290">
        <f t="shared" si="1"/>
        <v>0.43914681278123535</v>
      </c>
      <c r="I23" s="282">
        <f t="shared" si="1"/>
        <v>0.51007963925586297</v>
      </c>
      <c r="J23" s="283">
        <f t="shared" si="1"/>
        <v>0.35022756695450835</v>
      </c>
      <c r="K23" s="284">
        <f t="shared" si="1"/>
        <v>0.15260777947287923</v>
      </c>
    </row>
    <row r="24" spans="2:20" ht="13.5" thickTop="1">
      <c r="C24" s="1468"/>
      <c r="D24" s="1468"/>
      <c r="E24" s="73"/>
      <c r="F24" s="73"/>
      <c r="G24" s="73"/>
    </row>
    <row r="25" spans="2:20">
      <c r="C25" s="298"/>
      <c r="D25" s="281"/>
      <c r="E25" s="281"/>
      <c r="F25" s="281"/>
      <c r="G25" s="281"/>
      <c r="H25" s="281"/>
      <c r="I25" s="300"/>
      <c r="J25" s="300"/>
      <c r="K25" s="300"/>
    </row>
    <row r="26" spans="2:20">
      <c r="C26" s="299"/>
      <c r="D26" s="281"/>
      <c r="E26" s="281"/>
      <c r="F26" s="281"/>
      <c r="G26" s="281"/>
      <c r="H26" s="281"/>
      <c r="I26" s="300"/>
      <c r="J26" s="300"/>
      <c r="K26" s="300"/>
    </row>
    <row r="27" spans="2:20" hidden="1">
      <c r="C27" s="7" t="s">
        <v>289</v>
      </c>
      <c r="D27" s="169">
        <f>D25+2*D26</f>
        <v>0</v>
      </c>
      <c r="E27" s="170">
        <f t="shared" ref="E27:K27" si="2">E25+2*E26</f>
        <v>0</v>
      </c>
      <c r="F27" s="170">
        <f t="shared" si="2"/>
        <v>0</v>
      </c>
      <c r="G27" s="170">
        <f t="shared" si="2"/>
        <v>0</v>
      </c>
      <c r="H27" s="276">
        <f t="shared" si="2"/>
        <v>0</v>
      </c>
      <c r="I27" s="170">
        <f t="shared" si="2"/>
        <v>0</v>
      </c>
      <c r="J27" s="155">
        <f t="shared" si="2"/>
        <v>0</v>
      </c>
      <c r="K27" s="171">
        <f t="shared" si="2"/>
        <v>0</v>
      </c>
    </row>
    <row r="28" spans="2:20" hidden="1">
      <c r="C28" s="7" t="s">
        <v>290</v>
      </c>
      <c r="D28" s="169">
        <f>MIN(0,D25-2*D26)</f>
        <v>0</v>
      </c>
      <c r="E28" s="170">
        <f t="shared" ref="E28:K28" si="3">MIN(0,E25-2*E26)</f>
        <v>0</v>
      </c>
      <c r="F28" s="170">
        <f t="shared" si="3"/>
        <v>0</v>
      </c>
      <c r="G28" s="170">
        <f t="shared" si="3"/>
        <v>0</v>
      </c>
      <c r="H28" s="170">
        <f t="shared" si="3"/>
        <v>0</v>
      </c>
      <c r="I28" s="170">
        <f t="shared" si="3"/>
        <v>0</v>
      </c>
      <c r="J28" s="155">
        <f t="shared" si="3"/>
        <v>0</v>
      </c>
      <c r="K28" s="171">
        <f t="shared" si="3"/>
        <v>0</v>
      </c>
    </row>
    <row r="32" spans="2:20" ht="12.75" customHeight="1">
      <c r="C32" s="122" t="str">
        <f>Criterios!A4</f>
        <v>Fecha Informe: 06 jun. 2023</v>
      </c>
      <c r="D32" s="151"/>
      <c r="E32" s="151"/>
      <c r="F32" s="151"/>
      <c r="G32" s="151"/>
      <c r="H32" s="151"/>
      <c r="I32" s="151"/>
      <c r="J32" s="151"/>
      <c r="K32" s="151"/>
      <c r="L32" s="151"/>
      <c r="M32" s="151"/>
    </row>
    <row r="33" spans="3:13" ht="12.75" customHeight="1">
      <c r="C33" s="151"/>
      <c r="D33" s="151"/>
      <c r="E33" s="151"/>
      <c r="F33" s="151"/>
      <c r="G33" s="151"/>
      <c r="H33" s="151"/>
      <c r="I33" s="151"/>
      <c r="J33" s="151"/>
      <c r="K33" s="151"/>
      <c r="L33" s="151"/>
      <c r="M33" s="151"/>
    </row>
    <row r="34" spans="3:13" ht="12.75" customHeight="1">
      <c r="C34" s="151"/>
      <c r="D34" s="151"/>
      <c r="E34" s="151"/>
      <c r="F34" s="151"/>
      <c r="G34" s="151"/>
      <c r="H34" s="151"/>
      <c r="I34" s="151"/>
      <c r="J34" s="151"/>
      <c r="K34" s="151"/>
      <c r="L34" s="151"/>
      <c r="M34" s="151"/>
    </row>
    <row r="35" spans="3:13" ht="12.75" customHeight="1">
      <c r="C35" s="151"/>
      <c r="D35" s="151"/>
      <c r="E35" s="151"/>
      <c r="F35" s="151"/>
      <c r="G35" s="151"/>
      <c r="H35" s="151"/>
      <c r="I35" s="151"/>
      <c r="J35" s="151"/>
      <c r="K35" s="151"/>
      <c r="L35" s="151"/>
      <c r="M35" s="151"/>
    </row>
  </sheetData>
  <sheetProtection algorithmName="SHA-512" hashValue="6+UK6SgT7D+t2p9YbyUDlA/1aQxdOhvEEdc/j8x895Vbcxdy5CdUXSbIRc6fnH49OHCVknzCrgvx7Cisqw/5CQ==" saltValue="IG6HUltivcuU0zYIPTljbw==" spinCount="100000" sheet="1" objects="1" scenarios="1"/>
  <mergeCells count="18">
    <mergeCell ref="R6:R7"/>
    <mergeCell ref="S6:S7"/>
    <mergeCell ref="T6:T7"/>
    <mergeCell ref="M6:M7"/>
    <mergeCell ref="Q6:Q7"/>
    <mergeCell ref="N6:N7"/>
    <mergeCell ref="O6:O7"/>
    <mergeCell ref="P6:P7"/>
    <mergeCell ref="J5:J7"/>
    <mergeCell ref="K5:K7"/>
    <mergeCell ref="C24:D2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2023-06-06T06:42:11Z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